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aje\Documents\MDFarms\Documents\Budget\Unit-type-percentage\"/>
    </mc:Choice>
  </mc:AlternateContent>
  <xr:revisionPtr revIDLastSave="0" documentId="13_ncr:1_{835A250C-C47C-4FA2-99EF-307B35C818CB}" xr6:coauthVersionLast="47" xr6:coauthVersionMax="47" xr10:uidLastSave="{00000000-0000-0000-0000-000000000000}"/>
  <bookViews>
    <workbookView xWindow="-120" yWindow="-120" windowWidth="15600" windowHeight="11280" tabRatio="791" firstSheet="19" activeTab="24" xr2:uid="{00000000-000D-0000-FFFF-FFFF00000000}"/>
  </bookViews>
  <sheets>
    <sheet name="88" sheetId="26" r:id="rId1"/>
    <sheet name="89-91" sheetId="23" r:id="rId2"/>
    <sheet name="92" sheetId="3" r:id="rId3"/>
    <sheet name="89-93" sheetId="11" r:id="rId4"/>
    <sheet name="94" sheetId="12" r:id="rId5"/>
    <sheet name="96" sheetId="13" r:id="rId6"/>
    <sheet name="97" sheetId="4" r:id="rId7"/>
    <sheet name="98-$20+4.5%" sheetId="14" r:id="rId8"/>
    <sheet name="99-00" sheetId="22" r:id="rId9"/>
    <sheet name="01" sheetId="1" r:id="rId10"/>
    <sheet name="02" sheetId="2" r:id="rId11"/>
    <sheet name="03" sheetId="5" r:id="rId12"/>
    <sheet name="04" sheetId="15" r:id="rId13"/>
    <sheet name="05" sheetId="16" r:id="rId14"/>
    <sheet name="06" sheetId="6" r:id="rId15"/>
    <sheet name="07" sheetId="7" r:id="rId16"/>
    <sheet name="08" sheetId="18" r:id="rId17"/>
    <sheet name="09-10" sheetId="19" r:id="rId18"/>
    <sheet name="10-13" sheetId="20" r:id="rId19"/>
    <sheet name="14-16" sheetId="9" r:id="rId20"/>
    <sheet name="17" sheetId="17" r:id="rId21"/>
    <sheet name="18" sheetId="27" r:id="rId22"/>
    <sheet name="%-20" sheetId="24" r:id="rId23"/>
    <sheet name="6 dec places" sheetId="29" r:id="rId24"/>
    <sheet name="5 dec places" sheetId="31" r:id="rId25"/>
    <sheet name="1973,sq ft,2016" sheetId="25" r:id="rId26"/>
    <sheet name="my fees" sheetId="28" r:id="rId27"/>
    <sheet name="% by type" sheetId="30" r:id="rId28"/>
  </sheets>
  <calcPr calcId="191029"/>
</workbook>
</file>

<file path=xl/calcChain.xml><?xml version="1.0" encoding="utf-8"?>
<calcChain xmlns="http://schemas.openxmlformats.org/spreadsheetml/2006/main">
  <c r="K25" i="31" l="1"/>
  <c r="J25" i="31" s="1"/>
  <c r="K24" i="31"/>
  <c r="J24" i="31" s="1"/>
  <c r="K23" i="31"/>
  <c r="I23" i="31" s="1"/>
  <c r="K22" i="31"/>
  <c r="J22" i="31" s="1"/>
  <c r="G22" i="31"/>
  <c r="K21" i="31"/>
  <c r="J21" i="31" s="1"/>
  <c r="K20" i="31"/>
  <c r="J20" i="31" s="1"/>
  <c r="K19" i="31"/>
  <c r="I19" i="31" s="1"/>
  <c r="K18" i="31"/>
  <c r="J18" i="31" s="1"/>
  <c r="N17" i="31"/>
  <c r="K17" i="31"/>
  <c r="J17" i="31" s="1"/>
  <c r="C17" i="31"/>
  <c r="N16" i="31"/>
  <c r="K16" i="31"/>
  <c r="J16" i="31" s="1"/>
  <c r="N15" i="31"/>
  <c r="K15" i="31"/>
  <c r="J15" i="31" s="1"/>
  <c r="N14" i="31"/>
  <c r="K14" i="31"/>
  <c r="J14" i="31" s="1"/>
  <c r="V13" i="31"/>
  <c r="U13" i="31"/>
  <c r="T13" i="31"/>
  <c r="H13" i="31" s="1"/>
  <c r="S13" i="31"/>
  <c r="R13" i="31"/>
  <c r="Q13" i="31"/>
  <c r="P13" i="31"/>
  <c r="D13" i="31" s="1"/>
  <c r="O13" i="31"/>
  <c r="N13" i="31"/>
  <c r="K13" i="31"/>
  <c r="F13" i="31" s="1"/>
  <c r="J13" i="31"/>
  <c r="N12" i="31"/>
  <c r="K12" i="31"/>
  <c r="J12" i="31" s="1"/>
  <c r="K11" i="31"/>
  <c r="J11" i="31" s="1"/>
  <c r="K9" i="31"/>
  <c r="J9" i="31"/>
  <c r="I9" i="31"/>
  <c r="H9" i="31"/>
  <c r="G9" i="31"/>
  <c r="F9" i="31"/>
  <c r="E9" i="31"/>
  <c r="D9" i="31"/>
  <c r="C9" i="31"/>
  <c r="K8" i="31"/>
  <c r="J8" i="31"/>
  <c r="I8" i="31"/>
  <c r="H8" i="31"/>
  <c r="G8" i="31"/>
  <c r="F8" i="31"/>
  <c r="E8" i="31"/>
  <c r="D8" i="31"/>
  <c r="C8" i="31"/>
  <c r="K7" i="31"/>
  <c r="J7" i="31"/>
  <c r="I7" i="31"/>
  <c r="H7" i="31"/>
  <c r="G7" i="31"/>
  <c r="F7" i="31"/>
  <c r="E7" i="31"/>
  <c r="D7" i="31"/>
  <c r="C7" i="31"/>
  <c r="C23" i="31" l="1"/>
  <c r="C24" i="31"/>
  <c r="E13" i="31"/>
  <c r="I13" i="31"/>
  <c r="E15" i="31"/>
  <c r="C20" i="31"/>
  <c r="C22" i="31"/>
  <c r="F23" i="31"/>
  <c r="G24" i="31"/>
  <c r="F15" i="31"/>
  <c r="G23" i="31"/>
  <c r="I15" i="31"/>
  <c r="D21" i="31"/>
  <c r="E21" i="31"/>
  <c r="E25" i="31"/>
  <c r="E11" i="31"/>
  <c r="C15" i="31"/>
  <c r="G15" i="31"/>
  <c r="C19" i="31"/>
  <c r="G21" i="31"/>
  <c r="G25" i="31"/>
  <c r="D25" i="31"/>
  <c r="C13" i="31"/>
  <c r="G14" i="31"/>
  <c r="D15" i="31"/>
  <c r="H15" i="31"/>
  <c r="C16" i="31"/>
  <c r="F19" i="31"/>
  <c r="C21" i="31"/>
  <c r="H21" i="31"/>
  <c r="C25" i="31"/>
  <c r="H25" i="31"/>
  <c r="G17" i="31"/>
  <c r="G11" i="31"/>
  <c r="C12" i="31"/>
  <c r="D17" i="31"/>
  <c r="H17" i="31"/>
  <c r="D20" i="31"/>
  <c r="H20" i="31"/>
  <c r="D24" i="31"/>
  <c r="H24" i="31"/>
  <c r="G20" i="31"/>
  <c r="C11" i="31"/>
  <c r="H11" i="31"/>
  <c r="G12" i="31"/>
  <c r="E17" i="31"/>
  <c r="I17" i="31"/>
  <c r="C18" i="31"/>
  <c r="J19" i="31"/>
  <c r="E20" i="31"/>
  <c r="I20" i="31"/>
  <c r="I21" i="31"/>
  <c r="J23" i="31"/>
  <c r="E24" i="31"/>
  <c r="I24" i="31"/>
  <c r="I25" i="31"/>
  <c r="D11" i="31"/>
  <c r="I11" i="31"/>
  <c r="G13" i="31"/>
  <c r="C14" i="31"/>
  <c r="F17" i="31"/>
  <c r="F20" i="31"/>
  <c r="F24" i="31"/>
  <c r="G18" i="31"/>
  <c r="H12" i="31"/>
  <c r="D14" i="31"/>
  <c r="D16" i="31"/>
  <c r="D22" i="31"/>
  <c r="F11" i="31"/>
  <c r="E12" i="31"/>
  <c r="I12" i="31"/>
  <c r="E14" i="31"/>
  <c r="I14" i="31"/>
  <c r="E16" i="31"/>
  <c r="I16" i="31"/>
  <c r="E18" i="31"/>
  <c r="I18" i="31"/>
  <c r="D19" i="31"/>
  <c r="H19" i="31"/>
  <c r="F21" i="31"/>
  <c r="E22" i="31"/>
  <c r="I22" i="31"/>
  <c r="D23" i="31"/>
  <c r="H23" i="31"/>
  <c r="F25" i="31"/>
  <c r="G16" i="31"/>
  <c r="D12" i="31"/>
  <c r="H14" i="31"/>
  <c r="H16" i="31"/>
  <c r="D18" i="31"/>
  <c r="H18" i="31"/>
  <c r="G19" i="31"/>
  <c r="H22" i="31"/>
  <c r="F12" i="31"/>
  <c r="F14" i="31"/>
  <c r="F16" i="31"/>
  <c r="F18" i="31"/>
  <c r="E19" i="31"/>
  <c r="F22" i="31"/>
  <c r="E23" i="31"/>
  <c r="S14" i="30"/>
  <c r="R14" i="30"/>
  <c r="Q14" i="30"/>
  <c r="P14" i="30"/>
  <c r="O14" i="30"/>
  <c r="N14" i="30"/>
  <c r="M14" i="30"/>
  <c r="L14" i="30"/>
  <c r="I17" i="1"/>
  <c r="J5" i="25"/>
  <c r="J6" i="25"/>
  <c r="J7" i="25"/>
  <c r="J8" i="25"/>
  <c r="J9" i="25"/>
  <c r="J10" i="25"/>
  <c r="J11" i="25"/>
  <c r="J12" i="25"/>
  <c r="J13" i="25"/>
  <c r="K12" i="25"/>
  <c r="K11" i="25"/>
  <c r="K10" i="25"/>
  <c r="K9" i="25"/>
  <c r="K8" i="25"/>
  <c r="K7" i="25"/>
  <c r="K6" i="25"/>
  <c r="K5" i="25"/>
  <c r="H13" i="25"/>
  <c r="I5" i="25"/>
  <c r="I6" i="25"/>
  <c r="I7" i="25"/>
  <c r="I8" i="25"/>
  <c r="I9" i="25"/>
  <c r="I10" i="25"/>
  <c r="I11" i="25"/>
  <c r="I12" i="25"/>
  <c r="T15" i="2"/>
  <c r="T14" i="2"/>
  <c r="T13" i="2"/>
  <c r="T12" i="2"/>
  <c r="T11" i="2"/>
  <c r="T10" i="2"/>
  <c r="T9" i="2"/>
  <c r="T8" i="2"/>
  <c r="S16" i="2"/>
  <c r="K15" i="1"/>
  <c r="K14" i="1"/>
  <c r="K13" i="1"/>
  <c r="K12" i="1"/>
  <c r="K11" i="1"/>
  <c r="K10" i="1"/>
  <c r="K9" i="1"/>
  <c r="K8" i="1"/>
  <c r="I15" i="1"/>
  <c r="I14" i="1"/>
  <c r="I13" i="1"/>
  <c r="I12" i="1"/>
  <c r="I11" i="1"/>
  <c r="I10" i="1"/>
  <c r="I9" i="1"/>
  <c r="I8" i="1"/>
  <c r="I16" i="1"/>
  <c r="I18" i="1" s="1"/>
  <c r="S24" i="30"/>
  <c r="R24" i="30"/>
  <c r="Q24" i="30"/>
  <c r="P24" i="30"/>
  <c r="O24" i="30"/>
  <c r="N24" i="30"/>
  <c r="M24" i="30"/>
  <c r="L24" i="30"/>
  <c r="S23" i="30"/>
  <c r="R23" i="30"/>
  <c r="Q23" i="30"/>
  <c r="P23" i="30"/>
  <c r="O23" i="30"/>
  <c r="N23" i="30"/>
  <c r="M23" i="30"/>
  <c r="L23" i="30"/>
  <c r="S22" i="30"/>
  <c r="R22" i="30"/>
  <c r="Q22" i="30"/>
  <c r="P22" i="30"/>
  <c r="O22" i="30"/>
  <c r="N22" i="30"/>
  <c r="M22" i="30"/>
  <c r="L22" i="30"/>
  <c r="S21" i="30"/>
  <c r="R21" i="30"/>
  <c r="Q21" i="30"/>
  <c r="P21" i="30"/>
  <c r="O21" i="30"/>
  <c r="N21" i="30"/>
  <c r="M21" i="30"/>
  <c r="L21" i="30"/>
  <c r="S20" i="30"/>
  <c r="R20" i="30"/>
  <c r="Q20" i="30"/>
  <c r="P20" i="30"/>
  <c r="O20" i="30"/>
  <c r="N20" i="30"/>
  <c r="M20" i="30"/>
  <c r="L20" i="30"/>
  <c r="S19" i="30"/>
  <c r="R19" i="30"/>
  <c r="Q19" i="30"/>
  <c r="P19" i="30"/>
  <c r="O19" i="30"/>
  <c r="N19" i="30"/>
  <c r="M19" i="30"/>
  <c r="L19" i="30"/>
  <c r="S18" i="30"/>
  <c r="R18" i="30"/>
  <c r="Q18" i="30"/>
  <c r="P18" i="30"/>
  <c r="O18" i="30"/>
  <c r="N18" i="30"/>
  <c r="M18" i="30"/>
  <c r="L18" i="30"/>
  <c r="S17" i="30"/>
  <c r="R17" i="30"/>
  <c r="Q17" i="30"/>
  <c r="P17" i="30"/>
  <c r="O17" i="30"/>
  <c r="N17" i="30"/>
  <c r="M17" i="30"/>
  <c r="L17" i="30"/>
  <c r="S16" i="30"/>
  <c r="R16" i="30"/>
  <c r="Q16" i="30"/>
  <c r="P16" i="30"/>
  <c r="O16" i="30"/>
  <c r="N16" i="30"/>
  <c r="M16" i="30"/>
  <c r="L16" i="30"/>
  <c r="S15" i="30"/>
  <c r="R15" i="30"/>
  <c r="Q15" i="30"/>
  <c r="P15" i="30"/>
  <c r="O15" i="30"/>
  <c r="N15" i="30"/>
  <c r="M15" i="30"/>
  <c r="L15" i="30"/>
  <c r="S13" i="30"/>
  <c r="R13" i="30"/>
  <c r="Q13" i="30"/>
  <c r="P13" i="30"/>
  <c r="O13" i="30"/>
  <c r="N13" i="30"/>
  <c r="M13" i="30"/>
  <c r="L13" i="30"/>
  <c r="S12" i="30"/>
  <c r="R12" i="30"/>
  <c r="Q12" i="30"/>
  <c r="P12" i="30"/>
  <c r="O12" i="30"/>
  <c r="N12" i="30"/>
  <c r="M12" i="30"/>
  <c r="L12" i="30"/>
  <c r="S11" i="30"/>
  <c r="R11" i="30"/>
  <c r="Q11" i="30"/>
  <c r="P11" i="30"/>
  <c r="O11" i="30"/>
  <c r="N11" i="30"/>
  <c r="M11" i="30"/>
  <c r="L11" i="30"/>
  <c r="S10" i="30"/>
  <c r="R10" i="30"/>
  <c r="Q10" i="30"/>
  <c r="P10" i="30"/>
  <c r="O10" i="30"/>
  <c r="N10" i="30"/>
  <c r="M10" i="30"/>
  <c r="L10" i="30"/>
  <c r="S9" i="30"/>
  <c r="R9" i="30"/>
  <c r="Q9" i="30"/>
  <c r="P9" i="30"/>
  <c r="O9" i="30"/>
  <c r="N9" i="30"/>
  <c r="M9" i="30"/>
  <c r="L9" i="30"/>
  <c r="S8" i="30"/>
  <c r="R8" i="30"/>
  <c r="Q8" i="30"/>
  <c r="P8" i="30"/>
  <c r="O8" i="30"/>
  <c r="N8" i="30"/>
  <c r="M8" i="30"/>
  <c r="L8" i="30"/>
  <c r="S7" i="30"/>
  <c r="R7" i="30"/>
  <c r="Q7" i="30"/>
  <c r="P7" i="30"/>
  <c r="O7" i="30"/>
  <c r="N7" i="30"/>
  <c r="M7" i="30"/>
  <c r="L7" i="30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J22" i="29"/>
  <c r="I22" i="29"/>
  <c r="H22" i="29"/>
  <c r="G22" i="29"/>
  <c r="F22" i="29"/>
  <c r="E22" i="29"/>
  <c r="D22" i="29"/>
  <c r="J21" i="29"/>
  <c r="I21" i="29"/>
  <c r="H21" i="29"/>
  <c r="G21" i="29"/>
  <c r="F21" i="29"/>
  <c r="E21" i="29"/>
  <c r="D21" i="29"/>
  <c r="J20" i="29"/>
  <c r="I20" i="29"/>
  <c r="H20" i="29"/>
  <c r="G20" i="29"/>
  <c r="F20" i="29"/>
  <c r="E20" i="29"/>
  <c r="D20" i="29"/>
  <c r="J19" i="29"/>
  <c r="I19" i="29"/>
  <c r="H19" i="29"/>
  <c r="G19" i="29"/>
  <c r="F19" i="29"/>
  <c r="E19" i="29"/>
  <c r="D19" i="29"/>
  <c r="J18" i="29"/>
  <c r="I18" i="29"/>
  <c r="H18" i="29"/>
  <c r="G18" i="29"/>
  <c r="F18" i="29"/>
  <c r="E18" i="29"/>
  <c r="D18" i="29"/>
  <c r="J17" i="29"/>
  <c r="I17" i="29"/>
  <c r="H17" i="29"/>
  <c r="G17" i="29"/>
  <c r="F17" i="29"/>
  <c r="E17" i="29"/>
  <c r="D17" i="29"/>
  <c r="J16" i="29"/>
  <c r="I16" i="29"/>
  <c r="H16" i="29"/>
  <c r="G16" i="29"/>
  <c r="F16" i="29"/>
  <c r="E16" i="29"/>
  <c r="D16" i="29"/>
  <c r="J15" i="29"/>
  <c r="I15" i="29"/>
  <c r="H15" i="29"/>
  <c r="G15" i="29"/>
  <c r="F15" i="29"/>
  <c r="E15" i="29"/>
  <c r="D15" i="29"/>
  <c r="J14" i="29"/>
  <c r="I14" i="29"/>
  <c r="H14" i="29"/>
  <c r="G14" i="29"/>
  <c r="F14" i="29"/>
  <c r="E14" i="29"/>
  <c r="D14" i="29"/>
  <c r="J13" i="29"/>
  <c r="I13" i="29"/>
  <c r="H13" i="29"/>
  <c r="G13" i="29"/>
  <c r="F13" i="29"/>
  <c r="E13" i="29"/>
  <c r="D13" i="29"/>
  <c r="J12" i="29"/>
  <c r="I12" i="29"/>
  <c r="H12" i="29"/>
  <c r="G12" i="29"/>
  <c r="F12" i="29"/>
  <c r="E12" i="29"/>
  <c r="D12" i="29"/>
  <c r="J11" i="29"/>
  <c r="I11" i="29"/>
  <c r="H11" i="29"/>
  <c r="G11" i="29"/>
  <c r="F11" i="29"/>
  <c r="E11" i="29"/>
  <c r="D11" i="29"/>
  <c r="J10" i="29"/>
  <c r="I10" i="29"/>
  <c r="H10" i="29"/>
  <c r="G10" i="29"/>
  <c r="F10" i="29"/>
  <c r="E10" i="29"/>
  <c r="D10" i="29"/>
  <c r="J9" i="29"/>
  <c r="I9" i="29"/>
  <c r="H9" i="29"/>
  <c r="G9" i="29"/>
  <c r="F9" i="29"/>
  <c r="E9" i="29"/>
  <c r="D9" i="29"/>
  <c r="J8" i="29"/>
  <c r="I8" i="29"/>
  <c r="H8" i="29"/>
  <c r="G8" i="29"/>
  <c r="F8" i="29"/>
  <c r="E8" i="29"/>
  <c r="D8" i="29"/>
  <c r="L25" i="29"/>
  <c r="K22" i="29"/>
  <c r="K21" i="29"/>
  <c r="K20" i="29"/>
  <c r="K19" i="29"/>
  <c r="K18" i="29"/>
  <c r="K17" i="29"/>
  <c r="K16" i="29"/>
  <c r="K15" i="29"/>
  <c r="N14" i="29"/>
  <c r="K14" i="29"/>
  <c r="N13" i="29"/>
  <c r="K13" i="29"/>
  <c r="N12" i="29"/>
  <c r="K12" i="29"/>
  <c r="N11" i="29"/>
  <c r="K11" i="29"/>
  <c r="V10" i="29"/>
  <c r="U10" i="29"/>
  <c r="T10" i="29"/>
  <c r="S10" i="29"/>
  <c r="R10" i="29"/>
  <c r="Q10" i="29"/>
  <c r="P10" i="29"/>
  <c r="O10" i="29"/>
  <c r="N10" i="29"/>
  <c r="K10" i="29"/>
  <c r="N9" i="29"/>
  <c r="K9" i="29"/>
  <c r="K8" i="29"/>
  <c r="K7" i="29"/>
  <c r="J7" i="29"/>
  <c r="I7" i="29"/>
  <c r="H7" i="29"/>
  <c r="G7" i="29"/>
  <c r="F7" i="29"/>
  <c r="E7" i="29"/>
  <c r="D7" i="29"/>
  <c r="K6" i="29"/>
  <c r="J6" i="29"/>
  <c r="I6" i="29"/>
  <c r="H6" i="29"/>
  <c r="G6" i="29"/>
  <c r="F6" i="29"/>
  <c r="E6" i="29"/>
  <c r="D6" i="29"/>
  <c r="K5" i="29"/>
  <c r="J5" i="29"/>
  <c r="I5" i="29"/>
  <c r="H5" i="29"/>
  <c r="G5" i="29"/>
  <c r="F5" i="29"/>
  <c r="E5" i="29"/>
  <c r="D5" i="29"/>
  <c r="V12" i="24"/>
  <c r="U12" i="24"/>
  <c r="T12" i="24"/>
  <c r="S12" i="24"/>
  <c r="R12" i="24"/>
  <c r="Q12" i="24"/>
  <c r="P12" i="24"/>
  <c r="O12" i="24"/>
  <c r="N12" i="24"/>
  <c r="K12" i="24"/>
  <c r="G12" i="24" s="1"/>
  <c r="A31" i="20"/>
  <c r="K21" i="24"/>
  <c r="C21" i="24" s="1"/>
  <c r="C20" i="24"/>
  <c r="J9" i="24"/>
  <c r="I9" i="24"/>
  <c r="H9" i="24"/>
  <c r="G9" i="24"/>
  <c r="F9" i="24"/>
  <c r="E9" i="24"/>
  <c r="D9" i="24"/>
  <c r="J8" i="24"/>
  <c r="I8" i="24"/>
  <c r="H8" i="24"/>
  <c r="G8" i="24"/>
  <c r="F8" i="24"/>
  <c r="E8" i="24"/>
  <c r="D8" i="24"/>
  <c r="J7" i="24"/>
  <c r="I7" i="24"/>
  <c r="H7" i="24"/>
  <c r="G7" i="24"/>
  <c r="F7" i="24"/>
  <c r="E7" i="24"/>
  <c r="D7" i="24"/>
  <c r="C9" i="24"/>
  <c r="C8" i="24"/>
  <c r="C7" i="24"/>
  <c r="K23" i="24"/>
  <c r="I23" i="24" s="1"/>
  <c r="K22" i="24"/>
  <c r="G22" i="24" s="1"/>
  <c r="K20" i="24"/>
  <c r="K19" i="24"/>
  <c r="C19" i="24" s="1"/>
  <c r="K18" i="24"/>
  <c r="J18" i="24" s="1"/>
  <c r="K17" i="24"/>
  <c r="C17" i="24" s="1"/>
  <c r="K16" i="24"/>
  <c r="C16" i="24" s="1"/>
  <c r="K15" i="24"/>
  <c r="C15" i="24" s="1"/>
  <c r="K14" i="24"/>
  <c r="J14" i="24" s="1"/>
  <c r="K13" i="24"/>
  <c r="G13" i="24" s="1"/>
  <c r="K11" i="24"/>
  <c r="C11" i="24" s="1"/>
  <c r="K10" i="24"/>
  <c r="J10" i="24" s="1"/>
  <c r="K24" i="24"/>
  <c r="J24" i="24" s="1"/>
  <c r="I17" i="23"/>
  <c r="J20" i="24"/>
  <c r="J19" i="24"/>
  <c r="J16" i="24"/>
  <c r="J11" i="24"/>
  <c r="K9" i="24"/>
  <c r="K8" i="24"/>
  <c r="K7" i="24"/>
  <c r="I21" i="24"/>
  <c r="I20" i="24"/>
  <c r="I16" i="24"/>
  <c r="I11" i="24"/>
  <c r="H20" i="24"/>
  <c r="H19" i="24"/>
  <c r="H16" i="24"/>
  <c r="H15" i="24"/>
  <c r="H11" i="24"/>
  <c r="G20" i="24"/>
  <c r="G16" i="24"/>
  <c r="G11" i="24"/>
  <c r="G10" i="24"/>
  <c r="F21" i="24"/>
  <c r="F20" i="24"/>
  <c r="F19" i="24"/>
  <c r="F18" i="24"/>
  <c r="F17" i="24"/>
  <c r="F16" i="24"/>
  <c r="F15" i="24"/>
  <c r="F14" i="24"/>
  <c r="F13" i="24"/>
  <c r="F11" i="24"/>
  <c r="F10" i="24"/>
  <c r="E21" i="24"/>
  <c r="E20" i="24"/>
  <c r="E16" i="24"/>
  <c r="E15" i="24"/>
  <c r="E11" i="24"/>
  <c r="E10" i="24"/>
  <c r="D20" i="24"/>
  <c r="D19" i="24"/>
  <c r="D16" i="24"/>
  <c r="D11" i="24"/>
  <c r="D10" i="24"/>
  <c r="Q15" i="2"/>
  <c r="Q14" i="2"/>
  <c r="Q13" i="2"/>
  <c r="Q12" i="2"/>
  <c r="Q11" i="2"/>
  <c r="Q10" i="2"/>
  <c r="Q9" i="2"/>
  <c r="Q8" i="2"/>
  <c r="U15" i="14"/>
  <c r="U14" i="14"/>
  <c r="U13" i="14"/>
  <c r="U12" i="14"/>
  <c r="U11" i="14"/>
  <c r="U10" i="14"/>
  <c r="U9" i="14"/>
  <c r="U8" i="14"/>
  <c r="K15" i="2"/>
  <c r="K11" i="2"/>
  <c r="P15" i="9"/>
  <c r="P14" i="9"/>
  <c r="P13" i="9"/>
  <c r="P12" i="9"/>
  <c r="P11" i="9"/>
  <c r="P10" i="9"/>
  <c r="P9" i="9"/>
  <c r="P8" i="9"/>
  <c r="E24" i="9"/>
  <c r="K15" i="17"/>
  <c r="K14" i="17"/>
  <c r="K13" i="17"/>
  <c r="K12" i="17"/>
  <c r="K11" i="17"/>
  <c r="K10" i="17"/>
  <c r="K9" i="17"/>
  <c r="K8" i="17"/>
  <c r="K16" i="17"/>
  <c r="K18" i="17" s="1"/>
  <c r="K17" i="17"/>
  <c r="U15" i="9"/>
  <c r="U14" i="9"/>
  <c r="U13" i="9"/>
  <c r="U12" i="9"/>
  <c r="U11" i="9"/>
  <c r="U10" i="9"/>
  <c r="U9" i="9"/>
  <c r="U8" i="9"/>
  <c r="N11" i="24"/>
  <c r="I15" i="14"/>
  <c r="I13" i="14"/>
  <c r="I8" i="14"/>
  <c r="B20" i="14"/>
  <c r="G15" i="14"/>
  <c r="K8" i="14"/>
  <c r="K9" i="14"/>
  <c r="K10" i="14"/>
  <c r="K11" i="14"/>
  <c r="K12" i="14"/>
  <c r="K13" i="14"/>
  <c r="K14" i="14"/>
  <c r="K15" i="14"/>
  <c r="K16" i="14"/>
  <c r="G14" i="14"/>
  <c r="G13" i="14"/>
  <c r="G12" i="14"/>
  <c r="G11" i="14"/>
  <c r="G10" i="14"/>
  <c r="G9" i="14"/>
  <c r="G8" i="14"/>
  <c r="H15" i="14"/>
  <c r="H14" i="14"/>
  <c r="H13" i="14"/>
  <c r="H12" i="14"/>
  <c r="H11" i="14"/>
  <c r="H10" i="14"/>
  <c r="H9" i="14"/>
  <c r="H8" i="14"/>
  <c r="H16" i="14"/>
  <c r="H18" i="14"/>
  <c r="B15" i="14"/>
  <c r="B25" i="14"/>
  <c r="M15" i="14"/>
  <c r="M14" i="14"/>
  <c r="M13" i="14"/>
  <c r="M12" i="14"/>
  <c r="M11" i="14"/>
  <c r="M10" i="14"/>
  <c r="M9" i="14"/>
  <c r="M8" i="14"/>
  <c r="L8" i="14"/>
  <c r="G17" i="26"/>
  <c r="A15" i="26"/>
  <c r="A25" i="26"/>
  <c r="R15" i="9"/>
  <c r="R14" i="9"/>
  <c r="R13" i="9"/>
  <c r="R12" i="9"/>
  <c r="R11" i="9"/>
  <c r="R10" i="9"/>
  <c r="R9" i="9"/>
  <c r="R8" i="9"/>
  <c r="O15" i="9"/>
  <c r="O14" i="9"/>
  <c r="O13" i="9"/>
  <c r="O12" i="9"/>
  <c r="O11" i="9"/>
  <c r="O10" i="9"/>
  <c r="O9" i="9"/>
  <c r="O8" i="9"/>
  <c r="B15" i="9"/>
  <c r="B25" i="9"/>
  <c r="K9" i="9"/>
  <c r="L9" i="9"/>
  <c r="K11" i="9"/>
  <c r="L11" i="9"/>
  <c r="K13" i="9"/>
  <c r="L13" i="9"/>
  <c r="K15" i="9"/>
  <c r="L17" i="9"/>
  <c r="I8" i="9"/>
  <c r="I9" i="9"/>
  <c r="I10" i="9"/>
  <c r="I11" i="9"/>
  <c r="I12" i="9"/>
  <c r="I13" i="9"/>
  <c r="I14" i="9"/>
  <c r="I15" i="9"/>
  <c r="I16" i="9"/>
  <c r="I17" i="9"/>
  <c r="S15" i="9"/>
  <c r="Q15" i="9"/>
  <c r="B20" i="9"/>
  <c r="G15" i="9"/>
  <c r="S14" i="9"/>
  <c r="Q14" i="9"/>
  <c r="J14" i="9"/>
  <c r="G14" i="9"/>
  <c r="S13" i="9"/>
  <c r="Q13" i="9"/>
  <c r="M13" i="9"/>
  <c r="G13" i="9"/>
  <c r="S12" i="9"/>
  <c r="Q12" i="9"/>
  <c r="J12" i="9"/>
  <c r="G12" i="9"/>
  <c r="S11" i="9"/>
  <c r="Q11" i="9"/>
  <c r="M11" i="9"/>
  <c r="G11" i="9"/>
  <c r="S10" i="9"/>
  <c r="Q10" i="9"/>
  <c r="G10" i="9"/>
  <c r="S9" i="9"/>
  <c r="Q9" i="9"/>
  <c r="G9" i="9"/>
  <c r="S8" i="9"/>
  <c r="Q8" i="9"/>
  <c r="G8" i="9"/>
  <c r="A15" i="27"/>
  <c r="A25" i="27"/>
  <c r="A20" i="27"/>
  <c r="B15" i="27"/>
  <c r="B25" i="27"/>
  <c r="C25" i="27"/>
  <c r="B20" i="27"/>
  <c r="C20" i="27"/>
  <c r="C15" i="27"/>
  <c r="C7" i="27"/>
  <c r="B15" i="17"/>
  <c r="B25" i="17"/>
  <c r="M8" i="17"/>
  <c r="M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N17" i="17"/>
  <c r="I8" i="17"/>
  <c r="I9" i="17"/>
  <c r="I10" i="17"/>
  <c r="I11" i="17"/>
  <c r="I12" i="17"/>
  <c r="I13" i="17"/>
  <c r="I14" i="17"/>
  <c r="I15" i="17"/>
  <c r="I16" i="17"/>
  <c r="I17" i="17"/>
  <c r="T15" i="17"/>
  <c r="R15" i="17"/>
  <c r="O15" i="17"/>
  <c r="B20" i="17"/>
  <c r="G15" i="17"/>
  <c r="T14" i="17"/>
  <c r="R14" i="17"/>
  <c r="O14" i="17"/>
  <c r="J14" i="17"/>
  <c r="G14" i="17"/>
  <c r="T13" i="17"/>
  <c r="R13" i="17"/>
  <c r="O13" i="17"/>
  <c r="J13" i="17"/>
  <c r="G13" i="17"/>
  <c r="T12" i="17"/>
  <c r="R12" i="17"/>
  <c r="O12" i="17"/>
  <c r="G12" i="17"/>
  <c r="T11" i="17"/>
  <c r="R11" i="17"/>
  <c r="J11" i="17"/>
  <c r="G11" i="17"/>
  <c r="T10" i="17"/>
  <c r="R10" i="17"/>
  <c r="O10" i="17"/>
  <c r="J10" i="17"/>
  <c r="G10" i="17"/>
  <c r="T9" i="17"/>
  <c r="R9" i="17"/>
  <c r="J9" i="17"/>
  <c r="G9" i="17"/>
  <c r="T8" i="17"/>
  <c r="R8" i="17"/>
  <c r="G8" i="17"/>
  <c r="A15" i="17"/>
  <c r="A25" i="17"/>
  <c r="C25" i="17" s="1"/>
  <c r="A20" i="17"/>
  <c r="C20" i="17"/>
  <c r="C15" i="17"/>
  <c r="C7" i="17"/>
  <c r="A15" i="9"/>
  <c r="A25" i="9"/>
  <c r="C25" i="9"/>
  <c r="A20" i="9"/>
  <c r="C20" i="9"/>
  <c r="C15" i="9"/>
  <c r="C7" i="9"/>
  <c r="A15" i="20"/>
  <c r="A25" i="20"/>
  <c r="C25" i="20" s="1"/>
  <c r="A20" i="20"/>
  <c r="B15" i="20"/>
  <c r="B25" i="20"/>
  <c r="K8" i="20"/>
  <c r="L8" i="20"/>
  <c r="K9" i="20"/>
  <c r="K10" i="20"/>
  <c r="L10" i="20"/>
  <c r="K11" i="20"/>
  <c r="K12" i="20"/>
  <c r="K13" i="20"/>
  <c r="K14" i="20"/>
  <c r="L14" i="20" s="1"/>
  <c r="K15" i="20"/>
  <c r="L15" i="20" s="1"/>
  <c r="L17" i="20"/>
  <c r="I8" i="20"/>
  <c r="I9" i="20"/>
  <c r="I10" i="20"/>
  <c r="I11" i="20"/>
  <c r="I12" i="20"/>
  <c r="I13" i="20"/>
  <c r="I14" i="20"/>
  <c r="I15" i="20"/>
  <c r="I16" i="20"/>
  <c r="I17" i="20"/>
  <c r="I18" i="20"/>
  <c r="R15" i="20"/>
  <c r="P15" i="20"/>
  <c r="M15" i="20"/>
  <c r="J15" i="20"/>
  <c r="B20" i="20"/>
  <c r="G15" i="20"/>
  <c r="R14" i="20"/>
  <c r="P14" i="20"/>
  <c r="M14" i="20"/>
  <c r="J14" i="20"/>
  <c r="G14" i="20"/>
  <c r="R13" i="20"/>
  <c r="P13" i="20"/>
  <c r="J13" i="20"/>
  <c r="G13" i="20"/>
  <c r="R12" i="20"/>
  <c r="P12" i="20"/>
  <c r="J12" i="20"/>
  <c r="G12" i="20"/>
  <c r="R11" i="20"/>
  <c r="P11" i="20"/>
  <c r="J11" i="20"/>
  <c r="G11" i="20"/>
  <c r="R10" i="20"/>
  <c r="P10" i="20"/>
  <c r="M10" i="20"/>
  <c r="J10" i="20"/>
  <c r="G10" i="20"/>
  <c r="R9" i="20"/>
  <c r="P9" i="20"/>
  <c r="J9" i="20"/>
  <c r="G9" i="20"/>
  <c r="R8" i="20"/>
  <c r="P8" i="20"/>
  <c r="M8" i="20"/>
  <c r="J8" i="20"/>
  <c r="G8" i="20"/>
  <c r="C20" i="20"/>
  <c r="C15" i="20"/>
  <c r="C7" i="20"/>
  <c r="A15" i="19"/>
  <c r="A25" i="19"/>
  <c r="C25" i="19" s="1"/>
  <c r="A20" i="19"/>
  <c r="B15" i="19"/>
  <c r="B25" i="19"/>
  <c r="K8" i="19"/>
  <c r="L8" i="19"/>
  <c r="K9" i="19"/>
  <c r="K10" i="19"/>
  <c r="L10" i="19"/>
  <c r="K11" i="19"/>
  <c r="L11" i="19" s="1"/>
  <c r="K12" i="19"/>
  <c r="L12" i="19"/>
  <c r="K13" i="19"/>
  <c r="K14" i="19"/>
  <c r="L14" i="19" s="1"/>
  <c r="K15" i="19"/>
  <c r="L15" i="19" s="1"/>
  <c r="L17" i="19"/>
  <c r="I8" i="19"/>
  <c r="I9" i="19"/>
  <c r="I10" i="19"/>
  <c r="I11" i="19"/>
  <c r="I12" i="19"/>
  <c r="I13" i="19"/>
  <c r="I14" i="19"/>
  <c r="I15" i="19"/>
  <c r="I17" i="19"/>
  <c r="R15" i="19"/>
  <c r="P15" i="19"/>
  <c r="B20" i="19"/>
  <c r="R14" i="19"/>
  <c r="P14" i="19"/>
  <c r="G14" i="19"/>
  <c r="R13" i="19"/>
  <c r="P13" i="19"/>
  <c r="G13" i="19"/>
  <c r="R12" i="19"/>
  <c r="P12" i="19"/>
  <c r="R11" i="19"/>
  <c r="P11" i="19"/>
  <c r="R10" i="19"/>
  <c r="P10" i="19"/>
  <c r="R9" i="19"/>
  <c r="P9" i="19"/>
  <c r="R8" i="19"/>
  <c r="P8" i="19"/>
  <c r="C20" i="19"/>
  <c r="C15" i="19"/>
  <c r="C7" i="19"/>
  <c r="G13" i="18"/>
  <c r="G12" i="18"/>
  <c r="G11" i="18"/>
  <c r="G8" i="18"/>
  <c r="G15" i="18"/>
  <c r="A15" i="18"/>
  <c r="A25" i="18"/>
  <c r="A20" i="18"/>
  <c r="B15" i="18"/>
  <c r="B25" i="18" s="1"/>
  <c r="K8" i="18"/>
  <c r="L8" i="18" s="1"/>
  <c r="K13" i="18"/>
  <c r="L13" i="18" s="1"/>
  <c r="L17" i="18"/>
  <c r="I8" i="18"/>
  <c r="I9" i="18"/>
  <c r="I10" i="18"/>
  <c r="I11" i="18"/>
  <c r="I12" i="18"/>
  <c r="I13" i="18"/>
  <c r="I14" i="18"/>
  <c r="I15" i="18"/>
  <c r="I17" i="18"/>
  <c r="R15" i="18"/>
  <c r="P15" i="18"/>
  <c r="B20" i="18"/>
  <c r="R14" i="18"/>
  <c r="P14" i="18"/>
  <c r="R13" i="18"/>
  <c r="P13" i="18"/>
  <c r="R12" i="18"/>
  <c r="P12" i="18"/>
  <c r="R11" i="18"/>
  <c r="P11" i="18"/>
  <c r="R10" i="18"/>
  <c r="P10" i="18"/>
  <c r="R9" i="18"/>
  <c r="P9" i="18"/>
  <c r="R8" i="18"/>
  <c r="P8" i="18"/>
  <c r="C20" i="18"/>
  <c r="C7" i="18"/>
  <c r="R15" i="7"/>
  <c r="R14" i="7"/>
  <c r="R13" i="7"/>
  <c r="R12" i="7"/>
  <c r="R11" i="7"/>
  <c r="R10" i="7"/>
  <c r="R9" i="7"/>
  <c r="R8" i="7"/>
  <c r="P15" i="7"/>
  <c r="P14" i="7"/>
  <c r="P13" i="7"/>
  <c r="P12" i="7"/>
  <c r="P11" i="7"/>
  <c r="P10" i="7"/>
  <c r="P9" i="7"/>
  <c r="P8" i="7"/>
  <c r="L17" i="7"/>
  <c r="B15" i="7"/>
  <c r="B25" i="7" s="1"/>
  <c r="K9" i="7"/>
  <c r="A15" i="7"/>
  <c r="A25" i="7"/>
  <c r="A20" i="7"/>
  <c r="I8" i="7"/>
  <c r="I9" i="7"/>
  <c r="I10" i="7"/>
  <c r="I11" i="7"/>
  <c r="I12" i="7"/>
  <c r="I13" i="7"/>
  <c r="I14" i="7"/>
  <c r="I15" i="7"/>
  <c r="I17" i="7"/>
  <c r="B20" i="7"/>
  <c r="G15" i="7"/>
  <c r="G14" i="7"/>
  <c r="G13" i="7"/>
  <c r="G12" i="7"/>
  <c r="G11" i="7"/>
  <c r="G10" i="7"/>
  <c r="G9" i="7"/>
  <c r="G8" i="7"/>
  <c r="C20" i="7"/>
  <c r="C15" i="7"/>
  <c r="C7" i="7"/>
  <c r="B15" i="6"/>
  <c r="B25" i="6"/>
  <c r="C25" i="6" s="1"/>
  <c r="A15" i="6"/>
  <c r="C15" i="6" s="1"/>
  <c r="A25" i="6"/>
  <c r="B20" i="6"/>
  <c r="A20" i="6"/>
  <c r="C7" i="6"/>
  <c r="I8" i="6"/>
  <c r="I9" i="6"/>
  <c r="I16" i="6" s="1"/>
  <c r="I10" i="6"/>
  <c r="I11" i="6"/>
  <c r="I12" i="6"/>
  <c r="I13" i="6"/>
  <c r="I14" i="6"/>
  <c r="I15" i="6"/>
  <c r="I17" i="6"/>
  <c r="G15" i="6"/>
  <c r="G11" i="6"/>
  <c r="G9" i="6"/>
  <c r="B20" i="11"/>
  <c r="A15" i="11"/>
  <c r="A25" i="11" s="1"/>
  <c r="A20" i="11"/>
  <c r="B15" i="16"/>
  <c r="C15" i="16" s="1"/>
  <c r="B25" i="16"/>
  <c r="P8" i="16"/>
  <c r="O8" i="16"/>
  <c r="O9" i="16"/>
  <c r="O10" i="16"/>
  <c r="O11" i="16"/>
  <c r="O16" i="16" s="1"/>
  <c r="O12" i="16"/>
  <c r="O13" i="16"/>
  <c r="O14" i="16"/>
  <c r="O15" i="16"/>
  <c r="B20" i="16"/>
  <c r="I8" i="16"/>
  <c r="N8" i="16"/>
  <c r="I9" i="16"/>
  <c r="N9" i="16" s="1"/>
  <c r="I10" i="16"/>
  <c r="N10" i="16" s="1"/>
  <c r="I11" i="16"/>
  <c r="N11" i="16" s="1"/>
  <c r="I12" i="16"/>
  <c r="N12" i="16" s="1"/>
  <c r="I13" i="16"/>
  <c r="N13" i="16" s="1"/>
  <c r="I14" i="16"/>
  <c r="N14" i="16"/>
  <c r="I15" i="16"/>
  <c r="N15" i="16" s="1"/>
  <c r="N17" i="16"/>
  <c r="J15" i="16"/>
  <c r="J14" i="16"/>
  <c r="J13" i="16"/>
  <c r="J12" i="16"/>
  <c r="J11" i="16"/>
  <c r="J10" i="16"/>
  <c r="J9" i="16"/>
  <c r="J8" i="16"/>
  <c r="K8" i="16"/>
  <c r="K9" i="16"/>
  <c r="K10" i="16"/>
  <c r="K11" i="16"/>
  <c r="K12" i="16"/>
  <c r="K13" i="16"/>
  <c r="K14" i="16"/>
  <c r="K15" i="16"/>
  <c r="K16" i="16"/>
  <c r="L14" i="16" s="1"/>
  <c r="K17" i="16"/>
  <c r="L15" i="16"/>
  <c r="L12" i="16"/>
  <c r="M9" i="16"/>
  <c r="J8" i="15"/>
  <c r="J9" i="15"/>
  <c r="J16" i="15" s="1"/>
  <c r="J10" i="15"/>
  <c r="J11" i="15"/>
  <c r="J12" i="15"/>
  <c r="J13" i="15"/>
  <c r="J14" i="15"/>
  <c r="J15" i="15"/>
  <c r="J17" i="15"/>
  <c r="B20" i="15"/>
  <c r="I8" i="15"/>
  <c r="M8" i="15"/>
  <c r="I10" i="15"/>
  <c r="M10" i="15"/>
  <c r="I12" i="15"/>
  <c r="M12" i="15" s="1"/>
  <c r="I14" i="15"/>
  <c r="M14" i="15"/>
  <c r="B15" i="15"/>
  <c r="O15" i="15" s="1"/>
  <c r="N15" i="15"/>
  <c r="O14" i="15"/>
  <c r="N14" i="15"/>
  <c r="N13" i="15"/>
  <c r="N12" i="15"/>
  <c r="O11" i="15"/>
  <c r="N11" i="15"/>
  <c r="O10" i="15"/>
  <c r="N10" i="15"/>
  <c r="N9" i="15"/>
  <c r="N8" i="15"/>
  <c r="A15" i="16"/>
  <c r="A25" i="16" s="1"/>
  <c r="A20" i="16"/>
  <c r="C20" i="16"/>
  <c r="C7" i="16"/>
  <c r="A15" i="15"/>
  <c r="A25" i="15"/>
  <c r="A20" i="15"/>
  <c r="C15" i="15"/>
  <c r="C7" i="15"/>
  <c r="C7" i="12"/>
  <c r="A15" i="12"/>
  <c r="A25" i="12" s="1"/>
  <c r="A20" i="12"/>
  <c r="B15" i="11"/>
  <c r="C15" i="11" s="1"/>
  <c r="B25" i="11"/>
  <c r="C7" i="11"/>
  <c r="B15" i="23"/>
  <c r="B25" i="23"/>
  <c r="A15" i="23"/>
  <c r="C15" i="23" s="1"/>
  <c r="A25" i="23"/>
  <c r="B20" i="23"/>
  <c r="A20" i="23"/>
  <c r="C7" i="23"/>
  <c r="B15" i="5"/>
  <c r="O11" i="5"/>
  <c r="N15" i="5"/>
  <c r="N14" i="5"/>
  <c r="N13" i="5"/>
  <c r="N12" i="5"/>
  <c r="N11" i="5"/>
  <c r="N10" i="5"/>
  <c r="N9" i="5"/>
  <c r="N8" i="5"/>
  <c r="B20" i="5"/>
  <c r="I9" i="5"/>
  <c r="M9" i="5" s="1"/>
  <c r="I13" i="5"/>
  <c r="I14" i="5"/>
  <c r="M14" i="5" s="1"/>
  <c r="J8" i="5"/>
  <c r="J9" i="5"/>
  <c r="J10" i="5"/>
  <c r="J11" i="5"/>
  <c r="J12" i="5"/>
  <c r="J13" i="5"/>
  <c r="J14" i="5"/>
  <c r="J15" i="5"/>
  <c r="M13" i="5"/>
  <c r="J17" i="5"/>
  <c r="A15" i="5"/>
  <c r="A25" i="5"/>
  <c r="A20" i="5"/>
  <c r="C7" i="5"/>
  <c r="B20" i="2"/>
  <c r="G15" i="2"/>
  <c r="N15" i="2"/>
  <c r="G14" i="2"/>
  <c r="N14" i="2" s="1"/>
  <c r="G13" i="2"/>
  <c r="N13" i="2"/>
  <c r="G12" i="2"/>
  <c r="N12" i="2" s="1"/>
  <c r="G11" i="2"/>
  <c r="N11" i="2" s="1"/>
  <c r="G10" i="2"/>
  <c r="N10" i="2" s="1"/>
  <c r="G9" i="2"/>
  <c r="N9" i="2"/>
  <c r="G8" i="2"/>
  <c r="N8" i="2" s="1"/>
  <c r="A15" i="2"/>
  <c r="C15" i="2" s="1"/>
  <c r="A25" i="2"/>
  <c r="C25" i="2" s="1"/>
  <c r="A20" i="2"/>
  <c r="C20" i="2" s="1"/>
  <c r="I8" i="2"/>
  <c r="I9" i="2"/>
  <c r="I10" i="2"/>
  <c r="I11" i="2"/>
  <c r="I12" i="2"/>
  <c r="I13" i="2"/>
  <c r="I14" i="2"/>
  <c r="I15" i="2"/>
  <c r="I17" i="2"/>
  <c r="E16" i="2"/>
  <c r="B15" i="2"/>
  <c r="B25" i="2"/>
  <c r="M15" i="2"/>
  <c r="M13" i="2"/>
  <c r="M11" i="2"/>
  <c r="M9" i="2"/>
  <c r="C7" i="2"/>
  <c r="Q8" i="1"/>
  <c r="Q9" i="1"/>
  <c r="Q16" i="1" s="1"/>
  <c r="Q18" i="1" s="1"/>
  <c r="Q10" i="1"/>
  <c r="Q11" i="1"/>
  <c r="Q12" i="1"/>
  <c r="Q13" i="1"/>
  <c r="Q14" i="1"/>
  <c r="Q15" i="1"/>
  <c r="Q17" i="1"/>
  <c r="O17" i="1"/>
  <c r="O8" i="1"/>
  <c r="O9" i="1"/>
  <c r="O10" i="1"/>
  <c r="O11" i="1"/>
  <c r="O12" i="1"/>
  <c r="O13" i="1"/>
  <c r="O14" i="1"/>
  <c r="O15" i="1"/>
  <c r="O16" i="1"/>
  <c r="O18" i="1" s="1"/>
  <c r="B15" i="1"/>
  <c r="B25" i="1"/>
  <c r="M15" i="1"/>
  <c r="M11" i="1"/>
  <c r="M10" i="1"/>
  <c r="K16" i="1"/>
  <c r="L15" i="1"/>
  <c r="L13" i="1"/>
  <c r="L11" i="1"/>
  <c r="L9" i="1"/>
  <c r="L8" i="1"/>
  <c r="K17" i="1"/>
  <c r="G15" i="1"/>
  <c r="G14" i="1"/>
  <c r="G10" i="1"/>
  <c r="G9" i="1"/>
  <c r="A15" i="1"/>
  <c r="A25" i="1"/>
  <c r="A20" i="1"/>
  <c r="B20" i="1"/>
  <c r="C20" i="1" s="1"/>
  <c r="C15" i="1"/>
  <c r="C7" i="1"/>
  <c r="K18" i="1"/>
  <c r="I17" i="22"/>
  <c r="B20" i="22"/>
  <c r="B15" i="22"/>
  <c r="B25" i="22"/>
  <c r="L11" i="22"/>
  <c r="G15" i="22"/>
  <c r="G14" i="22"/>
  <c r="G11" i="22"/>
  <c r="G10" i="22"/>
  <c r="G8" i="22"/>
  <c r="I8" i="22"/>
  <c r="I9" i="22"/>
  <c r="I16" i="22" s="1"/>
  <c r="I10" i="22"/>
  <c r="I11" i="22"/>
  <c r="I12" i="22"/>
  <c r="I13" i="22"/>
  <c r="I14" i="22"/>
  <c r="I15" i="22"/>
  <c r="A15" i="22"/>
  <c r="A20" i="22"/>
  <c r="C20" i="22"/>
  <c r="C7" i="22"/>
  <c r="P8" i="14"/>
  <c r="S15" i="14"/>
  <c r="S14" i="14"/>
  <c r="S13" i="14"/>
  <c r="S12" i="14"/>
  <c r="S11" i="14"/>
  <c r="S10" i="14"/>
  <c r="S9" i="14"/>
  <c r="S8" i="14"/>
  <c r="R15" i="14"/>
  <c r="R14" i="14"/>
  <c r="R13" i="14"/>
  <c r="R12" i="14"/>
  <c r="R11" i="14"/>
  <c r="R10" i="14"/>
  <c r="R9" i="14"/>
  <c r="R8" i="14"/>
  <c r="P15" i="14"/>
  <c r="P14" i="14"/>
  <c r="P13" i="14"/>
  <c r="P12" i="14"/>
  <c r="P11" i="14"/>
  <c r="P10" i="14"/>
  <c r="P9" i="14"/>
  <c r="A15" i="14"/>
  <c r="A25" i="14"/>
  <c r="C25" i="14" s="1"/>
  <c r="A20" i="14"/>
  <c r="C20" i="14"/>
  <c r="C15" i="14"/>
  <c r="C7" i="14"/>
  <c r="N15" i="14"/>
  <c r="N14" i="14"/>
  <c r="N13" i="14"/>
  <c r="N12" i="14"/>
  <c r="N11" i="14"/>
  <c r="N10" i="14"/>
  <c r="N9" i="14"/>
  <c r="N8" i="14"/>
  <c r="K18" i="14"/>
  <c r="L15" i="14"/>
  <c r="L14" i="14"/>
  <c r="L12" i="14"/>
  <c r="L11" i="14"/>
  <c r="L10" i="14"/>
  <c r="G8" i="13"/>
  <c r="G9" i="13"/>
  <c r="G16" i="13" s="1"/>
  <c r="G10" i="13"/>
  <c r="G11" i="13"/>
  <c r="G12" i="13"/>
  <c r="G13" i="13"/>
  <c r="G14" i="13"/>
  <c r="G15" i="13"/>
  <c r="E15" i="13"/>
  <c r="E14" i="13"/>
  <c r="E13" i="13"/>
  <c r="E12" i="13"/>
  <c r="E11" i="13"/>
  <c r="E10" i="13"/>
  <c r="E9" i="13"/>
  <c r="E8" i="13"/>
  <c r="A14" i="13"/>
  <c r="A24" i="13"/>
  <c r="A19" i="13"/>
  <c r="G8" i="26"/>
  <c r="G9" i="26"/>
  <c r="G16" i="26" s="1"/>
  <c r="G18" i="26" s="1"/>
  <c r="G10" i="26"/>
  <c r="G11" i="26"/>
  <c r="G12" i="26"/>
  <c r="G13" i="26"/>
  <c r="G14" i="26"/>
  <c r="G15" i="26"/>
  <c r="A20" i="26"/>
  <c r="H15" i="26"/>
  <c r="H14" i="26"/>
  <c r="H13" i="26"/>
  <c r="H12" i="26"/>
  <c r="E12" i="26"/>
  <c r="H10" i="26"/>
  <c r="E10" i="26"/>
  <c r="H9" i="26"/>
  <c r="E8" i="26"/>
  <c r="G17" i="3"/>
  <c r="I8" i="12"/>
  <c r="I9" i="12"/>
  <c r="I10" i="12"/>
  <c r="I11" i="12"/>
  <c r="I12" i="12"/>
  <c r="I13" i="12"/>
  <c r="I14" i="12"/>
  <c r="I15" i="12"/>
  <c r="B20" i="12"/>
  <c r="G11" i="12"/>
  <c r="B15" i="12"/>
  <c r="C15" i="12" s="1"/>
  <c r="B25" i="12"/>
  <c r="C25" i="12" s="1"/>
  <c r="I8" i="11"/>
  <c r="I9" i="11"/>
  <c r="I10" i="11"/>
  <c r="I11" i="11"/>
  <c r="I12" i="11"/>
  <c r="I13" i="11"/>
  <c r="I14" i="11"/>
  <c r="I15" i="11"/>
  <c r="G8" i="3"/>
  <c r="G9" i="3"/>
  <c r="G16" i="3" s="1"/>
  <c r="G10" i="3"/>
  <c r="G11" i="3"/>
  <c r="G12" i="3"/>
  <c r="G13" i="3"/>
  <c r="G14" i="3"/>
  <c r="G15" i="3"/>
  <c r="A19" i="3"/>
  <c r="E14" i="3"/>
  <c r="E13" i="3"/>
  <c r="E12" i="3"/>
  <c r="E10" i="3"/>
  <c r="E9" i="3"/>
  <c r="E8" i="3"/>
  <c r="A14" i="3"/>
  <c r="A24" i="3"/>
  <c r="J13" i="23"/>
  <c r="J8" i="23"/>
  <c r="I8" i="23"/>
  <c r="I9" i="23"/>
  <c r="I10" i="23"/>
  <c r="I16" i="23" s="1"/>
  <c r="I18" i="23" s="1"/>
  <c r="I11" i="23"/>
  <c r="I12" i="23"/>
  <c r="I13" i="23"/>
  <c r="I14" i="23"/>
  <c r="I15" i="23"/>
  <c r="G13" i="23"/>
  <c r="I45" i="17"/>
  <c r="I44" i="17"/>
  <c r="I43" i="17"/>
  <c r="I42" i="17"/>
  <c r="I41" i="17"/>
  <c r="I40" i="17"/>
  <c r="I39" i="17"/>
  <c r="I38" i="17"/>
  <c r="G32" i="17"/>
  <c r="I32" i="17" s="1"/>
  <c r="G31" i="17"/>
  <c r="G30" i="17"/>
  <c r="H30" i="17" s="1"/>
  <c r="I30" i="17"/>
  <c r="G29" i="17"/>
  <c r="G28" i="17"/>
  <c r="G27" i="17"/>
  <c r="I27" i="17" s="1"/>
  <c r="G26" i="17"/>
  <c r="G25" i="17"/>
  <c r="H45" i="17"/>
  <c r="H44" i="17"/>
  <c r="H43" i="17"/>
  <c r="H42" i="17"/>
  <c r="H41" i="17"/>
  <c r="H40" i="17"/>
  <c r="H39" i="17"/>
  <c r="H38" i="17"/>
  <c r="H32" i="17"/>
  <c r="H27" i="17"/>
  <c r="N16" i="24"/>
  <c r="N15" i="24"/>
  <c r="N14" i="24"/>
  <c r="N13" i="24"/>
  <c r="E16" i="23"/>
  <c r="J17" i="24" l="1"/>
  <c r="F12" i="24"/>
  <c r="I15" i="24"/>
  <c r="J15" i="24"/>
  <c r="E12" i="24"/>
  <c r="I12" i="24"/>
  <c r="H13" i="24"/>
  <c r="J12" i="24"/>
  <c r="G21" i="24"/>
  <c r="H21" i="24"/>
  <c r="I17" i="24"/>
  <c r="C10" i="24"/>
  <c r="D21" i="24"/>
  <c r="G15" i="24"/>
  <c r="H10" i="24"/>
  <c r="I19" i="24"/>
  <c r="J21" i="24"/>
  <c r="I13" i="24"/>
  <c r="J13" i="24"/>
  <c r="C13" i="24"/>
  <c r="D13" i="24"/>
  <c r="E17" i="24"/>
  <c r="G17" i="24"/>
  <c r="D22" i="24"/>
  <c r="C12" i="24"/>
  <c r="D17" i="24"/>
  <c r="D15" i="24"/>
  <c r="E13" i="24"/>
  <c r="E19" i="24"/>
  <c r="G19" i="24"/>
  <c r="H17" i="24"/>
  <c r="I10" i="24"/>
  <c r="I22" i="24"/>
  <c r="D12" i="24"/>
  <c r="H12" i="24"/>
  <c r="F23" i="24"/>
  <c r="J23" i="24"/>
  <c r="G24" i="24"/>
  <c r="E14" i="24"/>
  <c r="E18" i="24"/>
  <c r="I14" i="24"/>
  <c r="I18" i="24"/>
  <c r="C24" i="24"/>
  <c r="E22" i="24"/>
  <c r="J22" i="24"/>
  <c r="G23" i="24"/>
  <c r="D24" i="24"/>
  <c r="H24" i="24"/>
  <c r="D14" i="24"/>
  <c r="D18" i="24"/>
  <c r="H14" i="24"/>
  <c r="H18" i="24"/>
  <c r="C22" i="24"/>
  <c r="F22" i="24"/>
  <c r="D23" i="24"/>
  <c r="H23" i="24"/>
  <c r="E24" i="24"/>
  <c r="I24" i="24"/>
  <c r="C14" i="24"/>
  <c r="C18" i="24"/>
  <c r="G14" i="24"/>
  <c r="G18" i="24"/>
  <c r="C23" i="24"/>
  <c r="H22" i="24"/>
  <c r="E23" i="24"/>
  <c r="F24" i="24"/>
  <c r="H14" i="13"/>
  <c r="H12" i="13"/>
  <c r="H10" i="13"/>
  <c r="H8" i="13"/>
  <c r="H13" i="13"/>
  <c r="H15" i="13"/>
  <c r="H9" i="13"/>
  <c r="H11" i="13"/>
  <c r="J15" i="22"/>
  <c r="J11" i="22"/>
  <c r="J8" i="22"/>
  <c r="J12" i="22"/>
  <c r="I18" i="22"/>
  <c r="J10" i="22"/>
  <c r="J14" i="22"/>
  <c r="J9" i="22"/>
  <c r="J13" i="22"/>
  <c r="H14" i="3"/>
  <c r="H10" i="3"/>
  <c r="H12" i="3"/>
  <c r="H11" i="3"/>
  <c r="G18" i="3"/>
  <c r="H15" i="3"/>
  <c r="H9" i="3"/>
  <c r="H13" i="3"/>
  <c r="H8" i="3"/>
  <c r="I18" i="6"/>
  <c r="J15" i="6"/>
  <c r="K15" i="6" s="1"/>
  <c r="J10" i="6"/>
  <c r="K10" i="6" s="1"/>
  <c r="J13" i="6"/>
  <c r="K13" i="6" s="1"/>
  <c r="J9" i="6"/>
  <c r="K9" i="6" s="1"/>
  <c r="J12" i="6"/>
  <c r="K12" i="6" s="1"/>
  <c r="J11" i="6"/>
  <c r="K11" i="6" s="1"/>
  <c r="J8" i="6"/>
  <c r="K8" i="6" s="1"/>
  <c r="J14" i="6"/>
  <c r="K14" i="6" s="1"/>
  <c r="N16" i="2"/>
  <c r="N18" i="2" s="1"/>
  <c r="J18" i="15"/>
  <c r="K15" i="15"/>
  <c r="K14" i="15"/>
  <c r="K13" i="15"/>
  <c r="K12" i="15"/>
  <c r="K11" i="15"/>
  <c r="K10" i="15"/>
  <c r="K9" i="15"/>
  <c r="K8" i="15"/>
  <c r="J13" i="12"/>
  <c r="J9" i="12"/>
  <c r="J14" i="12"/>
  <c r="J8" i="12"/>
  <c r="C20" i="12"/>
  <c r="G13" i="12"/>
  <c r="G9" i="12"/>
  <c r="J12" i="12"/>
  <c r="A25" i="22"/>
  <c r="C25" i="22" s="1"/>
  <c r="C15" i="22"/>
  <c r="L13" i="22"/>
  <c r="L9" i="22"/>
  <c r="O14" i="5"/>
  <c r="O10" i="5"/>
  <c r="B25" i="5"/>
  <c r="J14" i="23"/>
  <c r="J10" i="23"/>
  <c r="G12" i="23"/>
  <c r="G8" i="23"/>
  <c r="C25" i="11"/>
  <c r="N16" i="16"/>
  <c r="N18" i="16" s="1"/>
  <c r="P14" i="16"/>
  <c r="P10" i="16"/>
  <c r="P15" i="16"/>
  <c r="P9" i="16"/>
  <c r="M14" i="16"/>
  <c r="M12" i="16"/>
  <c r="M10" i="16"/>
  <c r="M8" i="16"/>
  <c r="J13" i="11"/>
  <c r="J9" i="11"/>
  <c r="G12" i="11"/>
  <c r="G8" i="11"/>
  <c r="J11" i="11"/>
  <c r="G15" i="11"/>
  <c r="G10" i="11"/>
  <c r="J15" i="11"/>
  <c r="J10" i="11"/>
  <c r="G14" i="11"/>
  <c r="M9" i="7"/>
  <c r="L9" i="7"/>
  <c r="K12" i="7"/>
  <c r="K8" i="7"/>
  <c r="C25" i="7"/>
  <c r="K15" i="7"/>
  <c r="K10" i="7"/>
  <c r="J13" i="9"/>
  <c r="J9" i="9"/>
  <c r="J15" i="9"/>
  <c r="J10" i="9"/>
  <c r="J8" i="9"/>
  <c r="I18" i="9"/>
  <c r="J10" i="12"/>
  <c r="H28" i="17"/>
  <c r="I25" i="17"/>
  <c r="H25" i="17"/>
  <c r="I28" i="17"/>
  <c r="G9" i="23"/>
  <c r="G14" i="23"/>
  <c r="J9" i="23"/>
  <c r="J15" i="23"/>
  <c r="G12" i="12"/>
  <c r="L12" i="22"/>
  <c r="M13" i="1"/>
  <c r="M9" i="1"/>
  <c r="G12" i="1"/>
  <c r="G8" i="1"/>
  <c r="C25" i="1"/>
  <c r="C15" i="5"/>
  <c r="J16" i="5"/>
  <c r="I8" i="5"/>
  <c r="M8" i="5" s="1"/>
  <c r="I12" i="5"/>
  <c r="M12" i="5" s="1"/>
  <c r="O12" i="5"/>
  <c r="L10" i="16"/>
  <c r="L13" i="16"/>
  <c r="M15" i="16"/>
  <c r="P11" i="16"/>
  <c r="G9" i="11"/>
  <c r="K11" i="7"/>
  <c r="C25" i="18"/>
  <c r="K11" i="18"/>
  <c r="K14" i="18"/>
  <c r="K9" i="18"/>
  <c r="K12" i="18"/>
  <c r="G15" i="19"/>
  <c r="G11" i="19"/>
  <c r="G12" i="19"/>
  <c r="G10" i="19"/>
  <c r="G9" i="19"/>
  <c r="G8" i="19"/>
  <c r="I16" i="19"/>
  <c r="J8" i="11"/>
  <c r="J11" i="12"/>
  <c r="I26" i="17"/>
  <c r="I31" i="17"/>
  <c r="G10" i="23"/>
  <c r="G15" i="23"/>
  <c r="J11" i="23"/>
  <c r="I16" i="11"/>
  <c r="I18" i="11" s="1"/>
  <c r="G8" i="12"/>
  <c r="G14" i="12"/>
  <c r="E15" i="26"/>
  <c r="E13" i="26"/>
  <c r="E11" i="26"/>
  <c r="E9" i="26"/>
  <c r="L8" i="22"/>
  <c r="L14" i="22"/>
  <c r="G13" i="22"/>
  <c r="G9" i="22"/>
  <c r="G11" i="1"/>
  <c r="L14" i="1"/>
  <c r="L10" i="1"/>
  <c r="M12" i="1"/>
  <c r="I16" i="2"/>
  <c r="C20" i="5"/>
  <c r="I11" i="5"/>
  <c r="M11" i="5" s="1"/>
  <c r="O8" i="5"/>
  <c r="O13" i="5"/>
  <c r="C20" i="23"/>
  <c r="C25" i="16"/>
  <c r="O9" i="15"/>
  <c r="O13" i="15"/>
  <c r="L8" i="16"/>
  <c r="L11" i="16"/>
  <c r="M13" i="16"/>
  <c r="K18" i="16"/>
  <c r="P12" i="16"/>
  <c r="G11" i="11"/>
  <c r="G14" i="6"/>
  <c r="G12" i="6"/>
  <c r="G10" i="6"/>
  <c r="G8" i="6"/>
  <c r="C20" i="6"/>
  <c r="G13" i="6"/>
  <c r="K13" i="7"/>
  <c r="L12" i="20"/>
  <c r="L16" i="20" s="1"/>
  <c r="L18" i="20" s="1"/>
  <c r="M12" i="20"/>
  <c r="L9" i="20"/>
  <c r="M9" i="20"/>
  <c r="N9" i="17"/>
  <c r="O9" i="17"/>
  <c r="J12" i="11"/>
  <c r="J15" i="12"/>
  <c r="H26" i="17"/>
  <c r="H31" i="17"/>
  <c r="I29" i="17"/>
  <c r="H29" i="17"/>
  <c r="G11" i="23"/>
  <c r="J12" i="23"/>
  <c r="E15" i="3"/>
  <c r="E11" i="3"/>
  <c r="G10" i="12"/>
  <c r="G15" i="12"/>
  <c r="I16" i="12"/>
  <c r="H8" i="26"/>
  <c r="H11" i="26"/>
  <c r="E14" i="26"/>
  <c r="G12" i="22"/>
  <c r="L10" i="22"/>
  <c r="L15" i="22"/>
  <c r="G13" i="1"/>
  <c r="L12" i="1"/>
  <c r="M8" i="1"/>
  <c r="M14" i="1"/>
  <c r="K12" i="2"/>
  <c r="K8" i="2"/>
  <c r="K14" i="2"/>
  <c r="K9" i="2"/>
  <c r="M14" i="2"/>
  <c r="M12" i="2"/>
  <c r="M10" i="2"/>
  <c r="M8" i="2"/>
  <c r="K13" i="2"/>
  <c r="I15" i="5"/>
  <c r="M15" i="5" s="1"/>
  <c r="I10" i="5"/>
  <c r="M10" i="5" s="1"/>
  <c r="O9" i="5"/>
  <c r="O15" i="5"/>
  <c r="C25" i="23"/>
  <c r="C20" i="11"/>
  <c r="O8" i="15"/>
  <c r="O12" i="15"/>
  <c r="B25" i="15"/>
  <c r="I9" i="15"/>
  <c r="M9" i="15" s="1"/>
  <c r="M16" i="15" s="1"/>
  <c r="I11" i="15"/>
  <c r="M11" i="15" s="1"/>
  <c r="I13" i="15"/>
  <c r="M13" i="15" s="1"/>
  <c r="I15" i="15"/>
  <c r="M15" i="15" s="1"/>
  <c r="C20" i="15"/>
  <c r="L9" i="16"/>
  <c r="M11" i="16"/>
  <c r="P13" i="16"/>
  <c r="G13" i="11"/>
  <c r="I16" i="7"/>
  <c r="K14" i="7"/>
  <c r="C15" i="18"/>
  <c r="I16" i="18"/>
  <c r="K15" i="18"/>
  <c r="K10" i="18"/>
  <c r="L13" i="19"/>
  <c r="M13" i="19"/>
  <c r="L11" i="20"/>
  <c r="M11" i="20"/>
  <c r="N8" i="17"/>
  <c r="N16" i="17" s="1"/>
  <c r="N18" i="17" s="1"/>
  <c r="O8" i="17"/>
  <c r="J11" i="9"/>
  <c r="M15" i="9"/>
  <c r="L15" i="9"/>
  <c r="M9" i="9"/>
  <c r="J14" i="11"/>
  <c r="I14" i="14"/>
  <c r="I10" i="14"/>
  <c r="I12" i="14"/>
  <c r="I11" i="14"/>
  <c r="L13" i="14"/>
  <c r="L9" i="14"/>
  <c r="I9" i="14"/>
  <c r="K10" i="2"/>
  <c r="L13" i="20"/>
  <c r="M13" i="20"/>
  <c r="I13" i="25"/>
  <c r="G14" i="18"/>
  <c r="G10" i="18"/>
  <c r="G9" i="18"/>
  <c r="L9" i="19"/>
  <c r="I18" i="17"/>
  <c r="J15" i="17"/>
  <c r="J12" i="17"/>
  <c r="O11" i="17"/>
  <c r="J8" i="17"/>
  <c r="L8" i="17" s="1"/>
  <c r="K8" i="9"/>
  <c r="K10" i="9"/>
  <c r="K12" i="9"/>
  <c r="K14" i="9"/>
  <c r="M8" i="9" l="1"/>
  <c r="L8" i="9"/>
  <c r="J14" i="18"/>
  <c r="J13" i="18"/>
  <c r="J12" i="18"/>
  <c r="J11" i="18"/>
  <c r="J10" i="18"/>
  <c r="J9" i="18"/>
  <c r="J8" i="18"/>
  <c r="I18" i="18"/>
  <c r="J15" i="18"/>
  <c r="M13" i="18"/>
  <c r="L12" i="18"/>
  <c r="M12" i="18"/>
  <c r="M15" i="7"/>
  <c r="L15" i="7"/>
  <c r="M14" i="9"/>
  <c r="L14" i="9"/>
  <c r="L14" i="15"/>
  <c r="L10" i="15"/>
  <c r="L15" i="15"/>
  <c r="L11" i="15"/>
  <c r="C25" i="15"/>
  <c r="L12" i="15"/>
  <c r="L8" i="15"/>
  <c r="L13" i="15"/>
  <c r="L9" i="15"/>
  <c r="M13" i="7"/>
  <c r="L13" i="7"/>
  <c r="J14" i="19"/>
  <c r="J10" i="19"/>
  <c r="J11" i="19"/>
  <c r="J8" i="19"/>
  <c r="M15" i="19"/>
  <c r="M10" i="19"/>
  <c r="J15" i="19"/>
  <c r="M14" i="19"/>
  <c r="J13" i="19"/>
  <c r="M12" i="19"/>
  <c r="M11" i="19"/>
  <c r="I18" i="19"/>
  <c r="J12" i="19"/>
  <c r="M8" i="19"/>
  <c r="J9" i="19"/>
  <c r="L9" i="18"/>
  <c r="M9" i="18"/>
  <c r="M8" i="18"/>
  <c r="M12" i="9"/>
  <c r="L12" i="9"/>
  <c r="M9" i="19"/>
  <c r="M10" i="18"/>
  <c r="L10" i="18"/>
  <c r="M14" i="7"/>
  <c r="L14" i="7"/>
  <c r="J11" i="2"/>
  <c r="J8" i="2"/>
  <c r="I18" i="2"/>
  <c r="J13" i="2"/>
  <c r="J10" i="2"/>
  <c r="J15" i="2"/>
  <c r="J12" i="2"/>
  <c r="J14" i="2"/>
  <c r="J9" i="2"/>
  <c r="L14" i="18"/>
  <c r="M14" i="18"/>
  <c r="M11" i="7"/>
  <c r="L11" i="7"/>
  <c r="M16" i="5"/>
  <c r="L8" i="7"/>
  <c r="M8" i="7"/>
  <c r="L12" i="5"/>
  <c r="L8" i="5"/>
  <c r="C25" i="5"/>
  <c r="L15" i="5"/>
  <c r="L10" i="5"/>
  <c r="L14" i="5"/>
  <c r="L9" i="5"/>
  <c r="L13" i="5"/>
  <c r="L11" i="5"/>
  <c r="L10" i="9"/>
  <c r="M10" i="9"/>
  <c r="L16" i="19"/>
  <c r="L18" i="19" s="1"/>
  <c r="L15" i="18"/>
  <c r="M15" i="18"/>
  <c r="J13" i="7"/>
  <c r="J11" i="7"/>
  <c r="J9" i="7"/>
  <c r="J10" i="7"/>
  <c r="I18" i="7"/>
  <c r="J14" i="7"/>
  <c r="J8" i="7"/>
  <c r="J15" i="7"/>
  <c r="J12" i="7"/>
  <c r="L11" i="18"/>
  <c r="M11" i="18"/>
  <c r="K12" i="5"/>
  <c r="K8" i="5"/>
  <c r="K11" i="5"/>
  <c r="K15" i="5"/>
  <c r="K10" i="5"/>
  <c r="K14" i="5"/>
  <c r="K9" i="5"/>
  <c r="K13" i="5"/>
  <c r="J18" i="5"/>
  <c r="L10" i="7"/>
  <c r="M10" i="7"/>
  <c r="L12" i="7"/>
  <c r="M12" i="7"/>
  <c r="L16" i="9" l="1"/>
  <c r="L18" i="9" s="1"/>
  <c r="L16" i="7"/>
  <c r="L18" i="7" s="1"/>
  <c r="L16" i="18"/>
  <c r="L18" i="18" s="1"/>
</calcChain>
</file>

<file path=xl/sharedStrings.xml><?xml version="1.0" encoding="utf-8"?>
<sst xmlns="http://schemas.openxmlformats.org/spreadsheetml/2006/main" count="1539" uniqueCount="148">
  <si>
    <t>5.59% increase over 2007</t>
  </si>
  <si>
    <t>of</t>
  </si>
  <si>
    <t>Units</t>
  </si>
  <si>
    <t>Number</t>
  </si>
  <si>
    <t>Unit</t>
  </si>
  <si>
    <t>Type</t>
  </si>
  <si>
    <t>Percentage</t>
  </si>
  <si>
    <t>(Total)</t>
  </si>
  <si>
    <t xml:space="preserve">Assess </t>
  </si>
  <si>
    <t>ment</t>
  </si>
  <si>
    <t>Assess</t>
  </si>
  <si>
    <t>plus CSA</t>
  </si>
  <si>
    <t>#</t>
  </si>
  <si>
    <t>Unit Type</t>
  </si>
  <si>
    <t>CSA</t>
  </si>
  <si>
    <t>Total</t>
  </si>
  <si>
    <t>% per unit</t>
  </si>
  <si>
    <t>Eff</t>
  </si>
  <si>
    <t>1 br spec</t>
  </si>
  <si>
    <t>1 br</t>
  </si>
  <si>
    <t>1 br+den</t>
  </si>
  <si>
    <t>2 br</t>
  </si>
  <si>
    <t>2 br+den</t>
  </si>
  <si>
    <t>3 br   </t>
  </si>
  <si>
    <t>3 br+den</t>
  </si>
  <si>
    <t>Calced Ass.</t>
  </si>
  <si>
    <t>unit</t>
  </si>
  <si>
    <t>K</t>
  </si>
  <si>
    <t>.123*X/12=198</t>
  </si>
  <si>
    <t>X=198*12/.123</t>
  </si>
  <si>
    <t>prop</t>
  </si>
  <si>
    <t>Monthly</t>
  </si>
  <si>
    <t>fee</t>
  </si>
  <si>
    <t xml:space="preserve"> </t>
  </si>
  <si>
    <t>didn’t</t>
  </si>
  <si>
    <t>%</t>
  </si>
  <si>
    <t>DID</t>
  </si>
  <si>
    <t>1 br sp</t>
  </si>
  <si>
    <t>2 br + den</t>
  </si>
  <si>
    <t>3 br</t>
  </si>
  <si>
    <t>3 br + den</t>
  </si>
  <si>
    <t>1sp</t>
  </si>
  <si>
    <t>1+d</t>
  </si>
  <si>
    <t>2+d</t>
  </si>
  <si>
    <t>3+d</t>
  </si>
  <si>
    <t>calc</t>
  </si>
  <si>
    <t>from</t>
  </si>
  <si>
    <t>below</t>
  </si>
  <si>
    <t>per</t>
  </si>
  <si>
    <t>compare</t>
  </si>
  <si>
    <t>to 3br+</t>
  </si>
  <si>
    <t>3 decimal</t>
  </si>
  <si>
    <t>places</t>
  </si>
  <si>
    <t>square</t>
  </si>
  <si>
    <t>values</t>
  </si>
  <si>
    <t>feet</t>
  </si>
  <si>
    <t>etc.</t>
  </si>
  <si>
    <t>(1)</t>
  </si>
  <si>
    <t>(2)</t>
  </si>
  <si>
    <t>(3)</t>
  </si>
  <si>
    <t>Yearly:</t>
  </si>
  <si>
    <t>CSA fee:</t>
  </si>
  <si>
    <t>Yearly</t>
  </si>
  <si>
    <t>minus</t>
  </si>
  <si>
    <t>with</t>
  </si>
  <si>
    <t>without</t>
  </si>
  <si>
    <t>Assessment</t>
  </si>
  <si>
    <t>proposed</t>
  </si>
  <si>
    <t>I don't think this is right</t>
  </si>
  <si>
    <t>The 1992 column is too high</t>
  </si>
  <si>
    <t>Fees</t>
  </si>
  <si>
    <t>1989-1993</t>
  </si>
  <si>
    <t>1998 Increase Represents a 4.5% Increase in Assessments and $5 Increase in CSA Fees</t>
  </si>
  <si>
    <t>varies</t>
  </si>
  <si>
    <t>$10-$18</t>
  </si>
  <si>
    <t>diff</t>
  </si>
  <si>
    <t>mistake</t>
  </si>
  <si>
    <t>Difference</t>
  </si>
  <si>
    <t>(+$20)</t>
  </si>
  <si>
    <t>(-$20)</t>
  </si>
  <si>
    <t>1994-1997</t>
  </si>
  <si>
    <t>+.03</t>
  </si>
  <si>
    <t>1989-91</t>
  </si>
  <si>
    <t xml:space="preserve">differ </t>
  </si>
  <si>
    <t>ence</t>
  </si>
  <si>
    <t>+.04</t>
  </si>
  <si>
    <t>+.06</t>
  </si>
  <si>
    <t>+.02</t>
  </si>
  <si>
    <t>+.05</t>
  </si>
  <si>
    <t>+.08</t>
  </si>
  <si>
    <t>+.07</t>
  </si>
  <si>
    <t>2014-2016</t>
  </si>
  <si>
    <t>2011-2013</t>
  </si>
  <si>
    <t>2009-2010</t>
  </si>
  <si>
    <t>2003-2004</t>
  </si>
  <si>
    <t>$2,837,774/12=$236,481 monthly</t>
  </si>
  <si>
    <t>2004 same as 2003</t>
  </si>
  <si>
    <t>-.03</t>
  </si>
  <si>
    <t>-.02</t>
  </si>
  <si>
    <t>using</t>
  </si>
  <si>
    <t>.123*X/12=214</t>
  </si>
  <si>
    <t>X=214*12/.123</t>
  </si>
  <si>
    <t>1989-93</t>
  </si>
  <si>
    <t>+14.69</t>
  </si>
  <si>
    <t>14.69% increase for 2006</t>
  </si>
  <si>
    <t>Didn't</t>
  </si>
  <si>
    <t>-20</t>
  </si>
  <si>
    <t>3% increase for 2007 ?</t>
  </si>
  <si>
    <t>vs</t>
  </si>
  <si>
    <t>+20</t>
  </si>
  <si>
    <t>2009 5% more than 2008</t>
  </si>
  <si>
    <t>2009-10</t>
  </si>
  <si>
    <t>5% Increase for 2014</t>
  </si>
  <si>
    <t>2016</t>
  </si>
  <si>
    <t>2017</t>
  </si>
  <si>
    <t>2011-2013 are the same</t>
  </si>
  <si>
    <t>2010 same as 2009</t>
  </si>
  <si>
    <t>2011 3% more than 2010</t>
  </si>
  <si>
    <t>2014-2016 are the same</t>
  </si>
  <si>
    <t>think Efficiencies were ever as high as $330/month.</t>
  </si>
  <si>
    <t>I don't think the below is correct. For one thing I don't</t>
  </si>
  <si>
    <t>Should</t>
  </si>
  <si>
    <t xml:space="preserve">be? : </t>
  </si>
  <si>
    <t>Years</t>
  </si>
  <si>
    <t>w/o CSA</t>
  </si>
  <si>
    <t>with CSA</t>
  </si>
  <si>
    <t>$1,608,180 (below) is for 1989-1991.  I don't know the number for 1988.</t>
  </si>
  <si>
    <t>1994-1997 are all the same</t>
  </si>
  <si>
    <t>1999-2000</t>
  </si>
  <si>
    <t>moot?</t>
  </si>
  <si>
    <t>(O23)/($N23/12)</t>
  </si>
  <si>
    <t>plus</t>
  </si>
  <si>
    <t>total</t>
  </si>
  <si>
    <t>(4)</t>
  </si>
  <si>
    <t>0.001234</t>
  </si>
  <si>
    <t>0.001372</t>
  </si>
  <si>
    <t>0.001509</t>
  </si>
  <si>
    <t>0.001783</t>
  </si>
  <si>
    <t>0.001852</t>
  </si>
  <si>
    <t>0.002023</t>
  </si>
  <si>
    <t>0.002058</t>
  </si>
  <si>
    <t>0.002264</t>
  </si>
  <si>
    <t>Ben 2017</t>
  </si>
  <si>
    <t>Rich M</t>
  </si>
  <si>
    <t>Should be?:</t>
  </si>
  <si>
    <t>change</t>
  </si>
  <si>
    <t>?????</t>
  </si>
  <si>
    <r>
      <rPr>
        <sz val="12"/>
        <color rgb="FF00B050"/>
        <rFont val="Calibri"/>
        <family val="2"/>
        <scheme val="minor"/>
      </rPr>
      <t>Years 1988-1997 were close to Rich M's calculations.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66FF"/>
        <rFont val="Calibri"/>
        <family val="2"/>
        <scheme val="minor"/>
      </rPr>
      <t>But after that they were closer to Ben's and Legal Counsel's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</si>
</sst>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164" formatCode="0.000000"/>
    <numFmt numFmtId="165" formatCode="0.00000000"/>
    <numFmt numFmtId="166" formatCode="0.000"/>
    <numFmt numFmtId="167" formatCode="#,##0.000"/>
    <numFmt numFmtId="168" formatCode="0.00000"/>
  </numFmts>
  <fonts count="40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6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66FF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Courier New ;mso-fareast-font-f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ourier New"/>
      <family val="3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ourier New"/>
      <family val="3"/>
    </font>
    <font>
      <sz val="9"/>
      <color theme="1"/>
      <name val="Courier New ;mso-fareast-font-f"/>
    </font>
    <font>
      <sz val="10"/>
      <name val="Calibri"/>
      <family val="2"/>
      <scheme val="minor"/>
    </font>
    <font>
      <sz val="9"/>
      <color theme="0" tint="-0.499984740745262"/>
      <name val="Courier New"/>
      <family val="3"/>
    </font>
    <font>
      <sz val="12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8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1" fontId="9" fillId="0" borderId="3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0" fontId="13" fillId="0" borderId="0" xfId="0" applyFont="1"/>
    <xf numFmtId="164" fontId="9" fillId="0" borderId="0" xfId="0" applyNumberFormat="1" applyFont="1" applyAlignment="1">
      <alignment horizontal="center"/>
    </xf>
    <xf numFmtId="3" fontId="9" fillId="0" borderId="0" xfId="0" applyNumberFormat="1" applyFont="1"/>
    <xf numFmtId="0" fontId="13" fillId="0" borderId="0" xfId="0" applyFont="1" applyAlignment="1">
      <alignment horizontal="center"/>
    </xf>
    <xf numFmtId="4" fontId="0" fillId="0" borderId="0" xfId="0" applyNumberFormat="1"/>
    <xf numFmtId="1" fontId="16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wrapText="1"/>
    </xf>
    <xf numFmtId="164" fontId="9" fillId="0" borderId="3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3" fontId="9" fillId="0" borderId="4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4" fontId="9" fillId="0" borderId="3" xfId="0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3" fontId="13" fillId="0" borderId="0" xfId="0" applyNumberFormat="1" applyFont="1"/>
    <xf numFmtId="1" fontId="9" fillId="0" borderId="0" xfId="0" applyNumberFormat="1" applyFont="1"/>
    <xf numFmtId="1" fontId="0" fillId="0" borderId="0" xfId="0" applyNumberFormat="1"/>
    <xf numFmtId="3" fontId="9" fillId="0" borderId="0" xfId="0" applyNumberFormat="1" applyFont="1" applyAlignment="1">
      <alignment horizontal="right"/>
    </xf>
    <xf numFmtId="164" fontId="0" fillId="0" borderId="0" xfId="0" applyNumberFormat="1"/>
    <xf numFmtId="166" fontId="0" fillId="0" borderId="0" xfId="0" applyNumberFormat="1" applyAlignment="1">
      <alignment horizontal="center"/>
    </xf>
    <xf numFmtId="166" fontId="20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0" fillId="0" borderId="0" xfId="0" applyNumberFormat="1"/>
    <xf numFmtId="3" fontId="9" fillId="0" borderId="1" xfId="0" applyNumberFormat="1" applyFont="1" applyBorder="1" applyAlignment="1">
      <alignment horizontal="right"/>
    </xf>
    <xf numFmtId="0" fontId="17" fillId="0" borderId="0" xfId="0" applyFont="1"/>
    <xf numFmtId="0" fontId="22" fillId="0" borderId="6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3" fillId="0" borderId="10" xfId="0" applyFont="1" applyBorder="1"/>
    <xf numFmtId="49" fontId="22" fillId="0" borderId="7" xfId="0" applyNumberFormat="1" applyFont="1" applyBorder="1" applyAlignment="1">
      <alignment horizontal="center"/>
    </xf>
    <xf numFmtId="164" fontId="22" fillId="0" borderId="11" xfId="0" applyNumberFormat="1" applyFont="1" applyBorder="1" applyAlignment="1">
      <alignment horizontal="center"/>
    </xf>
    <xf numFmtId="3" fontId="24" fillId="0" borderId="0" xfId="0" applyNumberFormat="1" applyFont="1"/>
    <xf numFmtId="0" fontId="18" fillId="0" borderId="0" xfId="0" applyFont="1" applyAlignment="1">
      <alignment horizontal="center"/>
    </xf>
    <xf numFmtId="0" fontId="15" fillId="0" borderId="0" xfId="0" applyFont="1"/>
    <xf numFmtId="0" fontId="9" fillId="0" borderId="5" xfId="0" applyFont="1" applyBorder="1"/>
    <xf numFmtId="1" fontId="11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3" fontId="9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4" fontId="13" fillId="0" borderId="0" xfId="0" applyNumberFormat="1" applyFont="1"/>
    <xf numFmtId="3" fontId="25" fillId="0" borderId="0" xfId="0" applyNumberFormat="1" applyFont="1"/>
    <xf numFmtId="0" fontId="0" fillId="0" borderId="0" xfId="0" applyAlignment="1">
      <alignment horizontal="right"/>
    </xf>
    <xf numFmtId="3" fontId="1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right"/>
    </xf>
    <xf numFmtId="167" fontId="1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13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6" fontId="9" fillId="0" borderId="0" xfId="0" applyNumberFormat="1" applyFont="1" applyAlignment="1">
      <alignment horizontal="center"/>
    </xf>
    <xf numFmtId="0" fontId="9" fillId="0" borderId="12" xfId="0" applyFont="1" applyBorder="1"/>
    <xf numFmtId="3" fontId="9" fillId="0" borderId="12" xfId="0" applyNumberFormat="1" applyFont="1" applyBorder="1" applyAlignment="1">
      <alignment horizontal="center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3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right"/>
    </xf>
    <xf numFmtId="49" fontId="22" fillId="0" borderId="3" xfId="0" applyNumberFormat="1" applyFont="1" applyBorder="1" applyAlignment="1">
      <alignment horizontal="center"/>
    </xf>
    <xf numFmtId="164" fontId="22" fillId="0" borderId="3" xfId="0" applyNumberFormat="1" applyFont="1" applyBorder="1" applyAlignment="1">
      <alignment horizontal="center"/>
    </xf>
    <xf numFmtId="49" fontId="22" fillId="0" borderId="13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3" fontId="16" fillId="0" borderId="0" xfId="0" applyNumberFormat="1" applyFont="1"/>
    <xf numFmtId="3" fontId="29" fillId="0" borderId="0" xfId="0" applyNumberFormat="1" applyFont="1"/>
    <xf numFmtId="164" fontId="29" fillId="0" borderId="0" xfId="0" applyNumberFormat="1" applyFont="1"/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/>
    <xf numFmtId="165" fontId="9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2" fontId="13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/>
    <xf numFmtId="2" fontId="9" fillId="0" borderId="0" xfId="0" applyNumberFormat="1" applyFo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38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49" fontId="13" fillId="0" borderId="0" xfId="0" applyNumberFormat="1" applyFont="1"/>
    <xf numFmtId="3" fontId="32" fillId="0" borderId="0" xfId="0" applyNumberFormat="1" applyFont="1" applyAlignment="1">
      <alignment vertical="center" wrapText="1"/>
    </xf>
    <xf numFmtId="3" fontId="16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horizontal="right"/>
    </xf>
    <xf numFmtId="0" fontId="35" fillId="0" borderId="6" xfId="0" applyFont="1" applyBorder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6" fillId="0" borderId="10" xfId="0" applyFont="1" applyBorder="1"/>
    <xf numFmtId="164" fontId="35" fillId="0" borderId="11" xfId="0" applyNumberFormat="1" applyFont="1" applyBorder="1" applyAlignment="1">
      <alignment horizontal="center"/>
    </xf>
    <xf numFmtId="164" fontId="3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164" fontId="35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13" fillId="0" borderId="2" xfId="0" applyFont="1" applyBorder="1" applyAlignment="1">
      <alignment horizontal="right"/>
    </xf>
    <xf numFmtId="49" fontId="13" fillId="0" borderId="2" xfId="0" applyNumberFormat="1" applyFont="1" applyBorder="1" applyAlignment="1">
      <alignment horizontal="right"/>
    </xf>
    <xf numFmtId="164" fontId="34" fillId="0" borderId="2" xfId="0" applyNumberFormat="1" applyFont="1" applyBorder="1" applyAlignment="1">
      <alignment horizontal="center"/>
    </xf>
    <xf numFmtId="3" fontId="34" fillId="0" borderId="2" xfId="0" applyNumberFormat="1" applyFont="1" applyBorder="1" applyAlignment="1">
      <alignment horizontal="center"/>
    </xf>
    <xf numFmtId="3" fontId="13" fillId="0" borderId="2" xfId="0" applyNumberFormat="1" applyFont="1" applyBorder="1" applyAlignment="1">
      <alignment horizontal="right"/>
    </xf>
    <xf numFmtId="3" fontId="16" fillId="0" borderId="2" xfId="0" applyNumberFormat="1" applyFont="1" applyBorder="1" applyAlignment="1">
      <alignment horizontal="right"/>
    </xf>
    <xf numFmtId="164" fontId="34" fillId="0" borderId="12" xfId="0" applyNumberFormat="1" applyFont="1" applyBorder="1" applyAlignment="1">
      <alignment horizontal="center"/>
    </xf>
    <xf numFmtId="3" fontId="34" fillId="0" borderId="0" xfId="0" applyNumberFormat="1" applyFont="1"/>
    <xf numFmtId="2" fontId="0" fillId="0" borderId="0" xfId="0" applyNumberFormat="1"/>
    <xf numFmtId="0" fontId="25" fillId="0" borderId="0" xfId="0" applyFont="1"/>
    <xf numFmtId="164" fontId="25" fillId="0" borderId="0" xfId="0" applyNumberFormat="1" applyFont="1"/>
    <xf numFmtId="0" fontId="13" fillId="0" borderId="13" xfId="0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/>
    <xf numFmtId="164" fontId="13" fillId="0" borderId="3" xfId="0" applyNumberFormat="1" applyFont="1" applyBorder="1" applyAlignment="1">
      <alignment horizontal="center"/>
    </xf>
    <xf numFmtId="3" fontId="13" fillId="0" borderId="5" xfId="0" applyNumberFormat="1" applyFont="1" applyBorder="1"/>
    <xf numFmtId="3" fontId="13" fillId="0" borderId="15" xfId="0" applyNumberFormat="1" applyFont="1" applyBorder="1"/>
    <xf numFmtId="3" fontId="13" fillId="0" borderId="16" xfId="0" applyNumberFormat="1" applyFont="1" applyBorder="1"/>
    <xf numFmtId="49" fontId="38" fillId="0" borderId="7" xfId="0" applyNumberFormat="1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164" fontId="38" fillId="0" borderId="11" xfId="0" applyNumberFormat="1" applyFont="1" applyBorder="1" applyAlignment="1">
      <alignment horizontal="center"/>
    </xf>
    <xf numFmtId="168" fontId="34" fillId="0" borderId="0" xfId="0" applyNumberFormat="1" applyFont="1" applyAlignment="1">
      <alignment horizontal="center"/>
    </xf>
    <xf numFmtId="2" fontId="13" fillId="0" borderId="2" xfId="0" applyNumberFormat="1" applyFont="1" applyBorder="1" applyAlignment="1">
      <alignment horizontal="right"/>
    </xf>
    <xf numFmtId="0" fontId="29" fillId="0" borderId="0" xfId="0" applyFont="1" applyAlignment="1">
      <alignment horizontal="right"/>
    </xf>
    <xf numFmtId="49" fontId="29" fillId="0" borderId="0" xfId="0" applyNumberFormat="1" applyFont="1" applyAlignment="1">
      <alignment horizontal="right"/>
    </xf>
    <xf numFmtId="168" fontId="29" fillId="0" borderId="0" xfId="0" applyNumberFormat="1" applyFont="1" applyAlignment="1">
      <alignment horizontal="center"/>
    </xf>
    <xf numFmtId="168" fontId="29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right"/>
    </xf>
    <xf numFmtId="168" fontId="16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3" fontId="39" fillId="0" borderId="0" xfId="0" applyNumberFormat="1" applyFont="1" applyAlignment="1">
      <alignment horizontal="right"/>
    </xf>
    <xf numFmtId="3" fontId="39" fillId="0" borderId="2" xfId="0" applyNumberFormat="1" applyFont="1" applyBorder="1" applyAlignment="1">
      <alignment horizontal="right"/>
    </xf>
    <xf numFmtId="3" fontId="39" fillId="0" borderId="0" xfId="0" applyNumberFormat="1" applyFont="1" applyAlignment="1">
      <alignment horizontal="center"/>
    </xf>
    <xf numFmtId="3" fontId="39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  <color rgb="FFFDD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18</xdr:row>
      <xdr:rowOff>76200</xdr:rowOff>
    </xdr:from>
    <xdr:to>
      <xdr:col>17</xdr:col>
      <xdr:colOff>523875</xdr:colOff>
      <xdr:row>35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" y="3676650"/>
          <a:ext cx="10391775" cy="332422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533395</xdr:colOff>
      <xdr:row>18</xdr:row>
      <xdr:rowOff>200024</xdr:rowOff>
    </xdr:from>
    <xdr:to>
      <xdr:col>16</xdr:col>
      <xdr:colOff>130440</xdr:colOff>
      <xdr:row>33</xdr:row>
      <xdr:rowOff>125729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9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395" y="3933824"/>
          <a:ext cx="9083945" cy="292608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18</xdr:row>
      <xdr:rowOff>9525</xdr:rowOff>
    </xdr:from>
    <xdr:to>
      <xdr:col>20</xdr:col>
      <xdr:colOff>428625</xdr:colOff>
      <xdr:row>39</xdr:row>
      <xdr:rowOff>28575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A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3743325"/>
          <a:ext cx="10972800" cy="411480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</xdr:colOff>
      <xdr:row>18</xdr:row>
      <xdr:rowOff>28575</xdr:rowOff>
    </xdr:from>
    <xdr:to>
      <xdr:col>17</xdr:col>
      <xdr:colOff>740741</xdr:colOff>
      <xdr:row>33</xdr:row>
      <xdr:rowOff>74295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B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47899" y="3829050"/>
          <a:ext cx="8970342" cy="30175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18</xdr:row>
      <xdr:rowOff>0</xdr:rowOff>
    </xdr:from>
    <xdr:to>
      <xdr:col>13</xdr:col>
      <xdr:colOff>362617</xdr:colOff>
      <xdr:row>35</xdr:row>
      <xdr:rowOff>140970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81226" y="3733800"/>
          <a:ext cx="5858541" cy="34747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457194</xdr:colOff>
      <xdr:row>17</xdr:row>
      <xdr:rowOff>161925</xdr:rowOff>
    </xdr:from>
    <xdr:to>
      <xdr:col>19</xdr:col>
      <xdr:colOff>494725</xdr:colOff>
      <xdr:row>36</xdr:row>
      <xdr:rowOff>95250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D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1669" y="3533775"/>
          <a:ext cx="10134031" cy="365760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18</xdr:row>
      <xdr:rowOff>19050</xdr:rowOff>
    </xdr:from>
    <xdr:to>
      <xdr:col>16</xdr:col>
      <xdr:colOff>226616</xdr:colOff>
      <xdr:row>33</xdr:row>
      <xdr:rowOff>175260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38375" y="3724275"/>
          <a:ext cx="7598966" cy="310896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57154</xdr:colOff>
      <xdr:row>18</xdr:row>
      <xdr:rowOff>19050</xdr:rowOff>
    </xdr:from>
    <xdr:to>
      <xdr:col>18</xdr:col>
      <xdr:colOff>552129</xdr:colOff>
      <xdr:row>36</xdr:row>
      <xdr:rowOff>152400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F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7454" y="3800475"/>
          <a:ext cx="8505500" cy="365760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18</xdr:row>
      <xdr:rowOff>0</xdr:rowOff>
    </xdr:from>
    <xdr:to>
      <xdr:col>18</xdr:col>
      <xdr:colOff>866775</xdr:colOff>
      <xdr:row>44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3714750"/>
          <a:ext cx="8753475" cy="5057775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17</xdr:row>
      <xdr:rowOff>190499</xdr:rowOff>
    </xdr:from>
    <xdr:to>
      <xdr:col>18</xdr:col>
      <xdr:colOff>42309</xdr:colOff>
      <xdr:row>39</xdr:row>
      <xdr:rowOff>9524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1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100" y="3838574"/>
          <a:ext cx="7995684" cy="411480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16</xdr:col>
      <xdr:colOff>19050</xdr:colOff>
      <xdr:row>36</xdr:row>
      <xdr:rowOff>85725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1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3848100"/>
          <a:ext cx="7115175" cy="36099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18</xdr:row>
      <xdr:rowOff>9525</xdr:rowOff>
    </xdr:from>
    <xdr:to>
      <xdr:col>19</xdr:col>
      <xdr:colOff>428625</xdr:colOff>
      <xdr:row>35</xdr:row>
      <xdr:rowOff>47625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" y="3609975"/>
          <a:ext cx="10010775" cy="343852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676277</xdr:colOff>
      <xdr:row>51</xdr:row>
      <xdr:rowOff>66675</xdr:rowOff>
    </xdr:from>
    <xdr:to>
      <xdr:col>18</xdr:col>
      <xdr:colOff>296867</xdr:colOff>
      <xdr:row>70</xdr:row>
      <xdr:rowOff>104775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13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377" y="10515600"/>
          <a:ext cx="9059865" cy="3657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123820</xdr:colOff>
      <xdr:row>18</xdr:row>
      <xdr:rowOff>0</xdr:rowOff>
    </xdr:from>
    <xdr:to>
      <xdr:col>14</xdr:col>
      <xdr:colOff>570459</xdr:colOff>
      <xdr:row>31</xdr:row>
      <xdr:rowOff>142875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0" y="0"/>
          <a:ext cx="8428589" cy="2743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38095</xdr:colOff>
      <xdr:row>17</xdr:row>
      <xdr:rowOff>200024</xdr:rowOff>
    </xdr:from>
    <xdr:to>
      <xdr:col>18</xdr:col>
      <xdr:colOff>168394</xdr:colOff>
      <xdr:row>31</xdr:row>
      <xdr:rowOff>142874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7920" y="3600449"/>
          <a:ext cx="9017124" cy="2743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18</xdr:row>
      <xdr:rowOff>0</xdr:rowOff>
    </xdr:from>
    <xdr:to>
      <xdr:col>18</xdr:col>
      <xdr:colOff>178411</xdr:colOff>
      <xdr:row>29</xdr:row>
      <xdr:rowOff>22860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00000000-0008-0000-04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5526" y="3600450"/>
          <a:ext cx="8960460" cy="219456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15</xdr:col>
      <xdr:colOff>361950</xdr:colOff>
      <xdr:row>33</xdr:row>
      <xdr:rowOff>114300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00000000-0008-0000-05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3200400"/>
          <a:ext cx="8267700" cy="33147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0</xdr:rowOff>
    </xdr:from>
    <xdr:to>
      <xdr:col>16</xdr:col>
      <xdr:colOff>466064</xdr:colOff>
      <xdr:row>25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10181564" cy="438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14</xdr:col>
      <xdr:colOff>390525</xdr:colOff>
      <xdr:row>39</xdr:row>
      <xdr:rowOff>95250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7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0" y="3924300"/>
          <a:ext cx="7019925" cy="419100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38101</xdr:colOff>
      <xdr:row>18</xdr:row>
      <xdr:rowOff>85725</xdr:rowOff>
    </xdr:from>
    <xdr:to>
      <xdr:col>17</xdr:col>
      <xdr:colOff>109094</xdr:colOff>
      <xdr:row>34</xdr:row>
      <xdr:rowOff>142875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00000000-0008-0000-08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1" y="3476625"/>
          <a:ext cx="6852793" cy="320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opLeftCell="A31" workbookViewId="0">
      <selection activeCell="I8" sqref="I8:I15"/>
    </sheetView>
  </sheetViews>
  <sheetFormatPr defaultRowHeight="15.75"/>
  <cols>
    <col min="1" max="1" width="12.28515625" style="17" customWidth="1"/>
    <col min="2" max="2" width="11.7109375" bestFit="1" customWidth="1"/>
    <col min="3" max="3" width="6" bestFit="1" customWidth="1"/>
    <col min="4" max="4" width="11.140625" bestFit="1" customWidth="1"/>
    <col min="5" max="5" width="7.85546875" customWidth="1"/>
    <col min="6" max="6" width="7.28515625" bestFit="1" customWidth="1"/>
    <col min="7" max="7" width="10.28515625" customWidth="1"/>
    <col min="8" max="8" width="11.28515625" customWidth="1"/>
    <col min="9" max="9" width="10.5703125" customWidth="1"/>
  </cols>
  <sheetData>
    <row r="1" spans="1:9" ht="26.25">
      <c r="A1" s="1" t="s">
        <v>126</v>
      </c>
      <c r="B1" s="17"/>
      <c r="C1" s="17"/>
      <c r="D1" s="17"/>
      <c r="E1" s="17"/>
      <c r="F1" s="17"/>
    </row>
    <row r="2" spans="1:9">
      <c r="B2" s="17"/>
      <c r="C2" s="17"/>
      <c r="D2" s="17"/>
      <c r="E2" s="17"/>
      <c r="F2" s="17"/>
    </row>
    <row r="3" spans="1:9">
      <c r="B3" s="13"/>
      <c r="C3" s="11"/>
      <c r="D3" s="12"/>
      <c r="E3" s="11"/>
      <c r="F3" s="11"/>
    </row>
    <row r="4" spans="1:9">
      <c r="A4" s="24">
        <v>1988</v>
      </c>
      <c r="B4" s="13"/>
      <c r="C4" s="11"/>
      <c r="D4" s="12"/>
      <c r="E4" s="10" t="s">
        <v>36</v>
      </c>
    </row>
    <row r="5" spans="1:9">
      <c r="A5" s="58" t="s">
        <v>66</v>
      </c>
      <c r="B5" s="10"/>
      <c r="C5" s="10" t="s">
        <v>12</v>
      </c>
      <c r="D5" s="10"/>
      <c r="E5" s="11" t="s">
        <v>35</v>
      </c>
      <c r="F5" s="11" t="s">
        <v>46</v>
      </c>
    </row>
    <row r="6" spans="1:9">
      <c r="A6" s="24" t="s">
        <v>60</v>
      </c>
      <c r="B6" s="10"/>
      <c r="C6" s="10" t="s">
        <v>1</v>
      </c>
      <c r="D6" s="23"/>
      <c r="E6" s="11" t="s">
        <v>14</v>
      </c>
      <c r="F6" s="11" t="s">
        <v>47</v>
      </c>
      <c r="H6" s="121" t="s">
        <v>109</v>
      </c>
      <c r="I6" s="121"/>
    </row>
    <row r="7" spans="1:9">
      <c r="A7" s="123">
        <v>1557384</v>
      </c>
      <c r="B7" s="26" t="s">
        <v>13</v>
      </c>
      <c r="C7" s="26" t="s">
        <v>2</v>
      </c>
      <c r="D7" s="10" t="s">
        <v>16</v>
      </c>
      <c r="E7" s="11" t="s">
        <v>32</v>
      </c>
      <c r="F7" s="11">
        <v>1988</v>
      </c>
      <c r="G7" s="10" t="s">
        <v>15</v>
      </c>
      <c r="H7" s="10" t="s">
        <v>35</v>
      </c>
      <c r="I7" s="10"/>
    </row>
    <row r="8" spans="1:9">
      <c r="A8" s="44"/>
      <c r="B8" s="27" t="s">
        <v>17</v>
      </c>
      <c r="C8" s="14">
        <v>5</v>
      </c>
      <c r="D8" s="28">
        <v>1.23E-3</v>
      </c>
      <c r="E8" s="34">
        <f t="shared" ref="E8:E15" si="0">D8*$A$20</f>
        <v>159.63185999999999</v>
      </c>
      <c r="F8" s="33">
        <v>160</v>
      </c>
      <c r="G8" s="36">
        <f>C8*F8*12</f>
        <v>9600</v>
      </c>
      <c r="H8" s="66">
        <f t="shared" ref="H8:H15" si="1">F8/$A$20</f>
        <v>1.2328366029187407E-3</v>
      </c>
      <c r="I8" s="18"/>
    </row>
    <row r="9" spans="1:9">
      <c r="A9" s="24" t="s">
        <v>61</v>
      </c>
      <c r="B9" s="31" t="s">
        <v>18</v>
      </c>
      <c r="C9" s="14">
        <v>5</v>
      </c>
      <c r="D9" s="28">
        <v>1.3699999999999999E-3</v>
      </c>
      <c r="E9" s="34">
        <f t="shared" si="0"/>
        <v>177.80133999999998</v>
      </c>
      <c r="F9" s="33">
        <v>178</v>
      </c>
      <c r="G9" s="36">
        <f t="shared" ref="G9:G15" si="2">C9*F9*12</f>
        <v>10680</v>
      </c>
      <c r="H9" s="66">
        <f t="shared" si="1"/>
        <v>1.3715307207470991E-3</v>
      </c>
      <c r="I9" s="18"/>
    </row>
    <row r="10" spans="1:9">
      <c r="A10" s="44">
        <v>98100</v>
      </c>
      <c r="B10" s="27" t="s">
        <v>19</v>
      </c>
      <c r="C10" s="14">
        <v>131</v>
      </c>
      <c r="D10" s="28">
        <v>1.5100000000000001E-3</v>
      </c>
      <c r="E10" s="34">
        <f t="shared" si="0"/>
        <v>195.97082</v>
      </c>
      <c r="F10" s="33">
        <v>196</v>
      </c>
      <c r="G10" s="36">
        <f t="shared" si="2"/>
        <v>308112</v>
      </c>
      <c r="H10" s="66">
        <f t="shared" si="1"/>
        <v>1.5102248385754572E-3</v>
      </c>
      <c r="I10" s="18"/>
    </row>
    <row r="11" spans="1:9">
      <c r="B11" s="27" t="s">
        <v>20</v>
      </c>
      <c r="C11" s="14">
        <v>13</v>
      </c>
      <c r="D11" s="28">
        <v>1.7799999999999999E-3</v>
      </c>
      <c r="E11" s="34">
        <f t="shared" si="0"/>
        <v>231.01195999999999</v>
      </c>
      <c r="F11" s="33">
        <v>231</v>
      </c>
      <c r="G11" s="36">
        <f t="shared" si="2"/>
        <v>36036</v>
      </c>
      <c r="H11" s="66">
        <f t="shared" si="1"/>
        <v>1.7799078454639318E-3</v>
      </c>
      <c r="I11" s="18"/>
    </row>
    <row r="12" spans="1:9">
      <c r="A12" s="24" t="s">
        <v>62</v>
      </c>
      <c r="B12" s="27" t="s">
        <v>21</v>
      </c>
      <c r="C12" s="14">
        <v>206</v>
      </c>
      <c r="D12" s="28">
        <v>1.8500000000000001E-3</v>
      </c>
      <c r="E12" s="34">
        <f t="shared" si="0"/>
        <v>240.0967</v>
      </c>
      <c r="F12" s="33">
        <v>240</v>
      </c>
      <c r="G12" s="36">
        <f t="shared" si="2"/>
        <v>593280</v>
      </c>
      <c r="H12" s="66">
        <f t="shared" si="1"/>
        <v>1.8492549043781111E-3</v>
      </c>
      <c r="I12" s="18"/>
    </row>
    <row r="13" spans="1:9">
      <c r="A13" s="24" t="s">
        <v>63</v>
      </c>
      <c r="B13" s="27" t="s">
        <v>22</v>
      </c>
      <c r="C13" s="14">
        <v>11</v>
      </c>
      <c r="D13" s="28">
        <v>2.0200000000000001E-3</v>
      </c>
      <c r="E13" s="34">
        <f t="shared" si="0"/>
        <v>262.15964000000002</v>
      </c>
      <c r="F13" s="33">
        <v>262</v>
      </c>
      <c r="G13" s="36">
        <f t="shared" si="2"/>
        <v>34584</v>
      </c>
      <c r="H13" s="66">
        <f t="shared" si="1"/>
        <v>2.0187699372794378E-3</v>
      </c>
      <c r="I13" s="18"/>
    </row>
    <row r="14" spans="1:9">
      <c r="A14" s="24" t="s">
        <v>61</v>
      </c>
      <c r="B14" s="27" t="s">
        <v>23</v>
      </c>
      <c r="C14" s="14">
        <v>153</v>
      </c>
      <c r="D14" s="28">
        <v>2.0600000000000002E-3</v>
      </c>
      <c r="E14" s="34">
        <f t="shared" si="0"/>
        <v>267.35092000000003</v>
      </c>
      <c r="F14" s="33">
        <v>267.5</v>
      </c>
      <c r="G14" s="36">
        <f t="shared" si="2"/>
        <v>491130</v>
      </c>
      <c r="H14" s="66">
        <f t="shared" si="1"/>
        <v>2.0611486955047697E-3</v>
      </c>
      <c r="I14" s="18"/>
    </row>
    <row r="15" spans="1:9">
      <c r="A15" s="44">
        <f>A7-A10</f>
        <v>1459284</v>
      </c>
      <c r="B15" s="27" t="s">
        <v>24</v>
      </c>
      <c r="C15" s="14">
        <v>21</v>
      </c>
      <c r="D15" s="28">
        <v>2.2599999999999999E-3</v>
      </c>
      <c r="E15" s="34">
        <f t="shared" si="0"/>
        <v>293.30732</v>
      </c>
      <c r="F15" s="33">
        <v>293.5</v>
      </c>
      <c r="G15" s="67">
        <f t="shared" si="2"/>
        <v>73962</v>
      </c>
      <c r="H15" s="66">
        <f t="shared" si="1"/>
        <v>2.261484643479065E-3</v>
      </c>
      <c r="I15" s="18"/>
    </row>
    <row r="16" spans="1:9">
      <c r="A16" s="44"/>
      <c r="B16" s="79"/>
      <c r="C16" s="80"/>
      <c r="D16" s="12"/>
      <c r="E16" s="18"/>
      <c r="F16" s="18"/>
      <c r="G16" s="36">
        <f>SUM(G8:G15)</f>
        <v>1557384</v>
      </c>
      <c r="H16" s="36"/>
    </row>
    <row r="17" spans="1:9">
      <c r="A17" s="24" t="s">
        <v>31</v>
      </c>
      <c r="F17" t="s">
        <v>63</v>
      </c>
      <c r="G17" s="67">
        <f>$A$7</f>
        <v>1557384</v>
      </c>
      <c r="I17" s="45"/>
    </row>
    <row r="18" spans="1:9">
      <c r="A18" s="24" t="s">
        <v>64</v>
      </c>
      <c r="B18" s="13"/>
      <c r="C18" s="16"/>
      <c r="D18" s="12"/>
      <c r="E18" s="18"/>
      <c r="F18" s="18"/>
      <c r="G18" s="45">
        <f>G16-G17</f>
        <v>0</v>
      </c>
      <c r="H18" s="45"/>
      <c r="I18" s="45"/>
    </row>
    <row r="19" spans="1:9">
      <c r="A19" s="24" t="s">
        <v>61</v>
      </c>
      <c r="B19" s="13"/>
      <c r="C19" s="16"/>
      <c r="D19" s="12"/>
      <c r="E19" s="18"/>
      <c r="F19" s="18"/>
      <c r="G19" s="45"/>
      <c r="H19" s="45"/>
      <c r="I19" s="45"/>
    </row>
    <row r="20" spans="1:9">
      <c r="A20" s="44">
        <f>A7/12</f>
        <v>129782</v>
      </c>
    </row>
    <row r="21" spans="1:9">
      <c r="A21" s="44"/>
    </row>
    <row r="22" spans="1:9">
      <c r="A22" s="24" t="s">
        <v>31</v>
      </c>
    </row>
    <row r="23" spans="1:9">
      <c r="A23" s="24" t="s">
        <v>65</v>
      </c>
    </row>
    <row r="24" spans="1:9">
      <c r="A24" s="24" t="s">
        <v>61</v>
      </c>
    </row>
    <row r="25" spans="1:9">
      <c r="A25" s="44">
        <f>A15/12</f>
        <v>121607</v>
      </c>
    </row>
    <row r="27" spans="1:9">
      <c r="A27" s="24" t="s">
        <v>61</v>
      </c>
    </row>
    <row r="28" spans="1:9">
      <c r="A28" s="20" t="s">
        <v>73</v>
      </c>
    </row>
    <row r="29" spans="1:9" ht="15">
      <c r="A29" s="75" t="s">
        <v>74</v>
      </c>
    </row>
    <row r="38" spans="2:2">
      <c r="B38" s="3"/>
    </row>
    <row r="39" spans="2:2">
      <c r="B39" s="3"/>
    </row>
  </sheetData>
  <pageMargins left="0.7" right="0.7" top="0.75" bottom="0.75" header="0.3" footer="0.3"/>
  <ignoredErrors>
    <ignoredError sqref="H6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showGridLines="0" topLeftCell="A19" workbookViewId="0">
      <selection activeCell="C31" sqref="C31"/>
    </sheetView>
  </sheetViews>
  <sheetFormatPr defaultColWidth="14.28515625" defaultRowHeight="15.75"/>
  <cols>
    <col min="1" max="2" width="14.28515625" style="17"/>
    <col min="3" max="3" width="8" style="17" customWidth="1"/>
    <col min="4" max="4" width="10.42578125" style="17" customWidth="1"/>
    <col min="5" max="5" width="6" style="17" bestFit="1" customWidth="1"/>
    <col min="6" max="6" width="11.140625" style="17" bestFit="1" customWidth="1"/>
    <col min="7" max="7" width="6.7109375" style="17" customWidth="1"/>
    <col min="8" max="8" width="8.7109375" style="17" customWidth="1"/>
    <col min="9" max="9" width="10.7109375" style="17" customWidth="1"/>
    <col min="10" max="10" width="8.7109375" style="17" customWidth="1"/>
    <col min="11" max="11" width="12.140625" style="17" bestFit="1" customWidth="1"/>
    <col min="12" max="12" width="9.5703125" style="17" bestFit="1" customWidth="1"/>
    <col min="13" max="13" width="11" style="17" customWidth="1"/>
    <col min="14" max="14" width="14.28515625" style="17"/>
    <col min="15" max="15" width="10.5703125" style="17" customWidth="1"/>
    <col min="16" max="16384" width="14.28515625" style="17"/>
  </cols>
  <sheetData>
    <row r="1" spans="1:18">
      <c r="A1"/>
      <c r="B1"/>
      <c r="C1"/>
    </row>
    <row r="2" spans="1:18">
      <c r="A2"/>
      <c r="B2"/>
      <c r="C2"/>
      <c r="D2" s="13"/>
      <c r="K2" s="65"/>
      <c r="L2" s="141"/>
      <c r="M2" s="141"/>
      <c r="N2" s="141"/>
      <c r="O2" s="65"/>
      <c r="P2" s="141"/>
      <c r="Q2" s="141"/>
      <c r="R2" s="141"/>
    </row>
    <row r="4" spans="1:18" ht="26.25">
      <c r="A4" s="24">
        <v>1999</v>
      </c>
      <c r="B4" s="24">
        <v>2001</v>
      </c>
      <c r="C4" s="2"/>
      <c r="D4" s="13"/>
      <c r="E4" s="11"/>
      <c r="F4" s="12"/>
      <c r="G4" s="10" t="s">
        <v>36</v>
      </c>
      <c r="H4" s="11" t="s">
        <v>46</v>
      </c>
      <c r="I4" s="11"/>
      <c r="J4" s="11"/>
      <c r="K4"/>
      <c r="L4"/>
      <c r="P4" s="11"/>
    </row>
    <row r="5" spans="1:18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I5" s="11"/>
      <c r="J5" s="11" t="s">
        <v>47</v>
      </c>
      <c r="K5"/>
      <c r="L5"/>
      <c r="N5" s="11"/>
      <c r="O5" s="11"/>
      <c r="P5" s="11"/>
    </row>
    <row r="6" spans="1:18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I6" s="57"/>
      <c r="J6" s="11" t="s">
        <v>131</v>
      </c>
      <c r="K6"/>
      <c r="L6"/>
      <c r="M6" s="76"/>
      <c r="N6" s="10" t="s">
        <v>30</v>
      </c>
      <c r="O6" s="10"/>
      <c r="P6" s="57" t="s">
        <v>46</v>
      </c>
    </row>
    <row r="7" spans="1:18">
      <c r="A7" s="44">
        <v>1769758</v>
      </c>
      <c r="B7" s="44">
        <v>1865807</v>
      </c>
      <c r="C7" s="73">
        <f>(B7-A7)/A7</f>
        <v>5.4272392044562023E-2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2001</v>
      </c>
      <c r="I7" s="10" t="s">
        <v>15</v>
      </c>
      <c r="J7" s="78">
        <v>20</v>
      </c>
      <c r="K7" s="10" t="s">
        <v>15</v>
      </c>
      <c r="L7" s="10" t="s">
        <v>35</v>
      </c>
      <c r="M7" s="20" t="s">
        <v>35</v>
      </c>
      <c r="N7" s="10">
        <v>2002</v>
      </c>
      <c r="O7" s="10"/>
      <c r="P7" s="11">
        <v>1999</v>
      </c>
    </row>
    <row r="8" spans="1:18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>F8*$B$25</f>
        <v>177.83821749999998</v>
      </c>
      <c r="H8" s="14">
        <v>211</v>
      </c>
      <c r="I8" s="36">
        <f>E8*H8*12</f>
        <v>12660</v>
      </c>
      <c r="J8" s="86">
        <v>211</v>
      </c>
      <c r="K8" s="36">
        <f>E8*J8*12</f>
        <v>12660</v>
      </c>
      <c r="L8" s="66">
        <f t="shared" ref="L8:L15" si="0">H8/($K$16/12)</f>
        <v>1.2673738332352269E-3</v>
      </c>
      <c r="M8" s="66">
        <f>H8/($B$25)</f>
        <v>1.4593601063281013E-3</v>
      </c>
      <c r="N8" s="30">
        <v>205</v>
      </c>
      <c r="O8" s="36">
        <f>E8*N8*12</f>
        <v>12300</v>
      </c>
      <c r="P8" s="14">
        <v>181</v>
      </c>
      <c r="Q8" s="36">
        <f>E8*P8*12</f>
        <v>10860</v>
      </c>
    </row>
    <row r="9" spans="1:18" s="76" customFormat="1" ht="15.75" customHeight="1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ref="G9:G15" si="1">F9*$B$25</f>
        <v>198.07996583333332</v>
      </c>
      <c r="H9" s="14">
        <v>213</v>
      </c>
      <c r="I9" s="36">
        <f t="shared" ref="I9:I15" si="2">E9*H9*12</f>
        <v>12780</v>
      </c>
      <c r="J9" s="86">
        <v>233</v>
      </c>
      <c r="K9" s="36">
        <f t="shared" ref="K9:K15" si="3">E9*J9*12</f>
        <v>13980</v>
      </c>
      <c r="L9" s="66">
        <f t="shared" si="0"/>
        <v>1.2793868553512007E-3</v>
      </c>
      <c r="M9" s="66">
        <f t="shared" ref="M9:M15" si="4">H9/($B$25)</f>
        <v>1.4731929035444815E-3</v>
      </c>
      <c r="N9" s="30">
        <v>228</v>
      </c>
      <c r="O9" s="36">
        <f t="shared" ref="O9:O15" si="5">E9*N9*12</f>
        <v>13680</v>
      </c>
      <c r="P9" s="14">
        <v>202</v>
      </c>
      <c r="Q9" s="36">
        <f t="shared" ref="Q9:Q15" si="6">E9*P9*12</f>
        <v>12120</v>
      </c>
      <c r="R9" s="17"/>
    </row>
    <row r="10" spans="1:18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1"/>
        <v>218.32171416666665</v>
      </c>
      <c r="H10" s="14">
        <v>234</v>
      </c>
      <c r="I10" s="36">
        <f t="shared" si="2"/>
        <v>367848</v>
      </c>
      <c r="J10" s="86">
        <v>254</v>
      </c>
      <c r="K10" s="36">
        <f t="shared" si="3"/>
        <v>399288</v>
      </c>
      <c r="L10" s="66">
        <f t="shared" si="0"/>
        <v>1.4055235875689246E-3</v>
      </c>
      <c r="M10" s="66">
        <f t="shared" si="4"/>
        <v>1.6184372743164727E-3</v>
      </c>
      <c r="N10" s="30">
        <v>251</v>
      </c>
      <c r="O10" s="36">
        <f t="shared" si="5"/>
        <v>394572</v>
      </c>
      <c r="P10" s="14">
        <v>223</v>
      </c>
      <c r="Q10" s="36">
        <f t="shared" si="6"/>
        <v>350556</v>
      </c>
      <c r="R10" s="76"/>
    </row>
    <row r="11" spans="1:18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1"/>
        <v>257.35937166666662</v>
      </c>
      <c r="H11" s="14">
        <v>278</v>
      </c>
      <c r="I11" s="36">
        <f t="shared" si="2"/>
        <v>43368</v>
      </c>
      <c r="J11" s="86">
        <v>298</v>
      </c>
      <c r="K11" s="36">
        <f t="shared" si="3"/>
        <v>46488</v>
      </c>
      <c r="L11" s="66">
        <f t="shared" si="0"/>
        <v>1.6698100741203464E-3</v>
      </c>
      <c r="M11" s="66">
        <f t="shared" si="4"/>
        <v>1.9227588130768349E-3</v>
      </c>
      <c r="N11" s="30">
        <v>299</v>
      </c>
      <c r="O11" s="36">
        <f t="shared" si="5"/>
        <v>46644</v>
      </c>
      <c r="P11" s="14">
        <v>263</v>
      </c>
      <c r="Q11" s="36">
        <f t="shared" si="6"/>
        <v>41028</v>
      </c>
    </row>
    <row r="12" spans="1:18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1"/>
        <v>267.4802458333333</v>
      </c>
      <c r="H12" s="14">
        <v>308</v>
      </c>
      <c r="I12" s="36">
        <f t="shared" si="2"/>
        <v>761376</v>
      </c>
      <c r="J12" s="86">
        <v>308</v>
      </c>
      <c r="K12" s="36">
        <f t="shared" si="3"/>
        <v>761376</v>
      </c>
      <c r="L12" s="66">
        <f t="shared" si="0"/>
        <v>1.8500054058599523E-3</v>
      </c>
      <c r="M12" s="66">
        <f t="shared" si="4"/>
        <v>2.1302507713225364E-3</v>
      </c>
      <c r="N12" s="30">
        <v>309</v>
      </c>
      <c r="O12" s="36">
        <f t="shared" si="5"/>
        <v>763848</v>
      </c>
      <c r="P12" s="14">
        <v>273</v>
      </c>
      <c r="Q12" s="36">
        <f t="shared" si="6"/>
        <v>674856</v>
      </c>
    </row>
    <row r="13" spans="1:18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1"/>
        <v>292.05951166666665</v>
      </c>
      <c r="H13" s="14">
        <v>315</v>
      </c>
      <c r="I13" s="36">
        <f t="shared" si="2"/>
        <v>41580</v>
      </c>
      <c r="J13" s="86">
        <v>335</v>
      </c>
      <c r="K13" s="36">
        <f t="shared" si="3"/>
        <v>44220</v>
      </c>
      <c r="L13" s="66">
        <f t="shared" si="0"/>
        <v>1.8920509832658602E-3</v>
      </c>
      <c r="M13" s="66">
        <f t="shared" si="4"/>
        <v>2.178665561579867E-3</v>
      </c>
      <c r="N13" s="30">
        <v>339</v>
      </c>
      <c r="O13" s="36">
        <f t="shared" si="5"/>
        <v>44748</v>
      </c>
      <c r="P13" s="14">
        <v>298</v>
      </c>
      <c r="Q13" s="36">
        <f t="shared" si="6"/>
        <v>39336</v>
      </c>
    </row>
    <row r="14" spans="1:18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1"/>
        <v>297.84286833333334</v>
      </c>
      <c r="H14" s="14">
        <v>321</v>
      </c>
      <c r="I14" s="36">
        <f t="shared" si="2"/>
        <v>589356</v>
      </c>
      <c r="J14" s="86">
        <v>341</v>
      </c>
      <c r="K14" s="36">
        <f t="shared" si="3"/>
        <v>626076</v>
      </c>
      <c r="L14" s="66">
        <f t="shared" si="0"/>
        <v>1.9280900496137813E-3</v>
      </c>
      <c r="M14" s="66">
        <f t="shared" si="4"/>
        <v>2.2201639532290073E-3</v>
      </c>
      <c r="N14" s="30">
        <v>345</v>
      </c>
      <c r="O14" s="36">
        <f t="shared" si="5"/>
        <v>633420</v>
      </c>
      <c r="P14" s="14">
        <v>304</v>
      </c>
      <c r="Q14" s="36">
        <f t="shared" si="6"/>
        <v>558144</v>
      </c>
    </row>
    <row r="15" spans="1:18">
      <c r="A15" s="44">
        <f>A7-A10</f>
        <v>1638958</v>
      </c>
      <c r="B15" s="44">
        <f>B7-B10</f>
        <v>1735007</v>
      </c>
      <c r="C15" s="73">
        <f>(B15-A15)/A15</f>
        <v>5.8603698203370677E-2</v>
      </c>
      <c r="D15" s="27" t="s">
        <v>24</v>
      </c>
      <c r="E15" s="14">
        <v>21</v>
      </c>
      <c r="F15" s="28">
        <v>2.2599999999999999E-3</v>
      </c>
      <c r="G15" s="14">
        <f t="shared" si="1"/>
        <v>326.75965166666663</v>
      </c>
      <c r="H15" s="14">
        <v>352</v>
      </c>
      <c r="I15" s="36">
        <f t="shared" si="2"/>
        <v>88704</v>
      </c>
      <c r="J15" s="86">
        <v>372</v>
      </c>
      <c r="K15" s="36">
        <f t="shared" si="3"/>
        <v>93744</v>
      </c>
      <c r="L15" s="66">
        <f t="shared" si="0"/>
        <v>2.1142918924113739E-3</v>
      </c>
      <c r="M15" s="66">
        <f t="shared" si="4"/>
        <v>2.4345723100828989E-3</v>
      </c>
      <c r="N15" s="30">
        <v>379</v>
      </c>
      <c r="O15" s="36">
        <f t="shared" si="5"/>
        <v>95508</v>
      </c>
      <c r="P15" s="14">
        <v>333</v>
      </c>
      <c r="Q15" s="36">
        <f t="shared" si="6"/>
        <v>83916</v>
      </c>
    </row>
    <row r="16" spans="1:18">
      <c r="A16" s="44"/>
      <c r="B16" s="44"/>
      <c r="C16" s="44"/>
      <c r="D16" s="79"/>
      <c r="E16" s="80"/>
      <c r="F16" s="12"/>
      <c r="G16" s="18"/>
      <c r="H16" s="18"/>
      <c r="I16" s="36">
        <f>SUM(I8:I15)</f>
        <v>1917672</v>
      </c>
      <c r="J16" s="18"/>
      <c r="K16" s="36">
        <f>SUM(K8:K15)</f>
        <v>1997832</v>
      </c>
      <c r="L16" s="36"/>
      <c r="O16" s="36">
        <f>SUM(O8:O15)</f>
        <v>2004720</v>
      </c>
      <c r="Q16" s="36">
        <f>SUM(Q8:Q15)</f>
        <v>1770816</v>
      </c>
    </row>
    <row r="17" spans="1:17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$B$7</f>
        <v>1865807</v>
      </c>
      <c r="J17" s="71"/>
      <c r="K17" s="72">
        <f>B7</f>
        <v>1865807</v>
      </c>
      <c r="L17" s="11"/>
      <c r="O17" s="72">
        <f>B7</f>
        <v>1865807</v>
      </c>
      <c r="Q17" s="36">
        <f>B7</f>
        <v>1865807</v>
      </c>
    </row>
    <row r="18" spans="1:17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51865</v>
      </c>
      <c r="J18" s="18"/>
      <c r="K18" s="39">
        <f>K16-K17</f>
        <v>132025</v>
      </c>
      <c r="L18" s="18"/>
      <c r="O18" s="39">
        <f>O16-O17</f>
        <v>138913</v>
      </c>
      <c r="Q18" s="39">
        <f>Q16-Q17</f>
        <v>-94991</v>
      </c>
    </row>
    <row r="19" spans="1:17">
      <c r="A19" s="24" t="s">
        <v>61</v>
      </c>
      <c r="B19" s="24" t="s">
        <v>61</v>
      </c>
      <c r="C19" s="24"/>
    </row>
    <row r="20" spans="1:17">
      <c r="A20" s="44">
        <f>A7/12</f>
        <v>147479.83333333334</v>
      </c>
      <c r="B20" s="44">
        <f>B7/12</f>
        <v>155483.91666666666</v>
      </c>
      <c r="C20" s="73">
        <f>(B20-A20)/A20</f>
        <v>5.4272392044561892E-2</v>
      </c>
    </row>
    <row r="21" spans="1:17">
      <c r="A21" s="44"/>
      <c r="B21" s="44"/>
      <c r="C21" s="44"/>
    </row>
    <row r="22" spans="1:17">
      <c r="A22" s="24" t="s">
        <v>31</v>
      </c>
      <c r="B22" s="24" t="s">
        <v>31</v>
      </c>
      <c r="C22" s="24"/>
    </row>
    <row r="23" spans="1:17">
      <c r="A23" s="24" t="s">
        <v>65</v>
      </c>
      <c r="B23" s="24" t="s">
        <v>65</v>
      </c>
      <c r="C23" s="24"/>
    </row>
    <row r="24" spans="1:17">
      <c r="A24" s="24" t="s">
        <v>61</v>
      </c>
      <c r="B24" s="24" t="s">
        <v>61</v>
      </c>
      <c r="C24" s="24"/>
    </row>
    <row r="25" spans="1:17">
      <c r="A25" s="44">
        <f>A15/12</f>
        <v>136579.83333333334</v>
      </c>
      <c r="B25" s="44">
        <f>B15/12</f>
        <v>144583.91666666666</v>
      </c>
      <c r="C25" s="73">
        <f>(B25-A25)/A25</f>
        <v>5.8603698203370531E-2</v>
      </c>
    </row>
    <row r="26" spans="1:17">
      <c r="A26" s="20"/>
      <c r="B26" s="20"/>
      <c r="C26" s="20"/>
    </row>
    <row r="27" spans="1:17">
      <c r="A27" s="24" t="s">
        <v>61</v>
      </c>
      <c r="B27" s="24" t="s">
        <v>61</v>
      </c>
      <c r="C27" s="24"/>
    </row>
    <row r="28" spans="1:17">
      <c r="A28" s="20">
        <v>20</v>
      </c>
      <c r="B28" s="20">
        <v>20</v>
      </c>
      <c r="C28" s="20"/>
    </row>
    <row r="29" spans="1:17">
      <c r="A29"/>
      <c r="B29"/>
      <c r="C29"/>
    </row>
    <row r="30" spans="1:17">
      <c r="A30"/>
      <c r="B30"/>
      <c r="C30"/>
    </row>
    <row r="31" spans="1:17">
      <c r="A31" s="20"/>
      <c r="B31" s="20"/>
      <c r="C31" s="20"/>
    </row>
    <row r="32" spans="1:17">
      <c r="A32" s="75"/>
      <c r="B32"/>
      <c r="C32" s="24"/>
    </row>
    <row r="33" spans="1:3">
      <c r="A33"/>
      <c r="B33"/>
      <c r="C33" s="20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5"/>
  <sheetViews>
    <sheetView showGridLines="0" topLeftCell="A8" workbookViewId="0">
      <selection activeCell="A8" sqref="A8"/>
    </sheetView>
  </sheetViews>
  <sheetFormatPr defaultRowHeight="15"/>
  <cols>
    <col min="1" max="2" width="12.140625" bestFit="1" customWidth="1"/>
    <col min="3" max="3" width="8.42578125" customWidth="1"/>
    <col min="4" max="4" width="10.42578125" customWidth="1"/>
    <col min="5" max="5" width="6" customWidth="1"/>
    <col min="6" max="6" width="11.140625" customWidth="1"/>
    <col min="7" max="7" width="4.5703125" customWidth="1"/>
    <col min="8" max="8" width="8.42578125" customWidth="1"/>
    <col min="9" max="9" width="10.140625" customWidth="1"/>
    <col min="10" max="12" width="9.5703125" customWidth="1"/>
    <col min="13" max="13" width="8.7109375" customWidth="1"/>
    <col min="14" max="14" width="10.140625" customWidth="1"/>
    <col min="15" max="15" width="10.42578125" style="68" customWidth="1"/>
    <col min="16" max="16" width="10.140625" customWidth="1"/>
    <col min="17" max="17" width="8.5703125" customWidth="1"/>
    <col min="18" max="20" width="10.140625" bestFit="1" customWidth="1"/>
  </cols>
  <sheetData>
    <row r="1" spans="1:20" ht="15.75">
      <c r="D1" s="17"/>
      <c r="E1" s="17"/>
      <c r="F1" s="17"/>
      <c r="G1" s="17"/>
      <c r="H1" s="17"/>
      <c r="I1" s="17"/>
      <c r="J1" s="17"/>
      <c r="K1" s="17"/>
      <c r="L1" s="17"/>
    </row>
    <row r="2" spans="1:20" ht="15.75">
      <c r="D2" s="11"/>
      <c r="E2" s="12"/>
      <c r="F2" s="11"/>
      <c r="G2" s="11"/>
      <c r="H2" s="17"/>
      <c r="I2" s="11"/>
      <c r="J2" s="11"/>
      <c r="K2" s="11"/>
      <c r="L2" s="11"/>
    </row>
    <row r="3" spans="1:20" ht="15.75">
      <c r="D3" s="11"/>
      <c r="E3" s="17"/>
      <c r="F3" s="23" t="s">
        <v>33</v>
      </c>
      <c r="G3" s="11"/>
      <c r="I3" s="11"/>
      <c r="J3" s="11"/>
      <c r="K3" s="11"/>
      <c r="L3" s="11"/>
    </row>
    <row r="4" spans="1:20" ht="26.25">
      <c r="A4" s="24">
        <v>2001</v>
      </c>
      <c r="B4" s="24">
        <v>2002</v>
      </c>
      <c r="C4" s="2"/>
      <c r="D4" s="13"/>
      <c r="E4" s="11"/>
      <c r="F4" s="12"/>
      <c r="G4" s="10" t="s">
        <v>36</v>
      </c>
      <c r="H4" s="11" t="s">
        <v>46</v>
      </c>
      <c r="M4" s="24" t="s">
        <v>34</v>
      </c>
      <c r="N4" s="11" t="s">
        <v>46</v>
      </c>
    </row>
    <row r="5" spans="1:20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M5" s="10" t="s">
        <v>35</v>
      </c>
      <c r="N5" s="11" t="s">
        <v>36</v>
      </c>
    </row>
    <row r="6" spans="1:20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M6" s="10" t="s">
        <v>14</v>
      </c>
      <c r="N6" s="11" t="s">
        <v>35</v>
      </c>
    </row>
    <row r="7" spans="1:20" ht="15.75">
      <c r="A7" s="44">
        <v>1865807</v>
      </c>
      <c r="B7" s="44">
        <v>2004600</v>
      </c>
      <c r="C7" s="73">
        <f>(B7-A7)/A7</f>
        <v>7.4387651027142676E-2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2002</v>
      </c>
      <c r="I7" s="10" t="s">
        <v>15</v>
      </c>
      <c r="J7" s="10" t="s">
        <v>35</v>
      </c>
      <c r="K7" s="10"/>
      <c r="L7" s="10"/>
      <c r="M7" s="10" t="s">
        <v>32</v>
      </c>
      <c r="N7" s="11" t="s">
        <v>45</v>
      </c>
    </row>
    <row r="8" spans="1:20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>F8*$B$20</f>
        <v>205.47149999999999</v>
      </c>
      <c r="H8" s="14">
        <v>205</v>
      </c>
      <c r="I8" s="36">
        <f>E8*H8*12</f>
        <v>12300</v>
      </c>
      <c r="J8" s="66">
        <f t="shared" ref="J8:J15" si="0">H8/($I$16/12)</f>
        <v>1.2271040344786304E-3</v>
      </c>
      <c r="K8" s="66">
        <f>(H8-20)/$B$25</f>
        <v>1.1847582452769773E-3</v>
      </c>
      <c r="L8" s="66"/>
      <c r="M8" s="29">
        <f t="shared" ref="M8:M15" si="1">F8*$B$25+$B$28</f>
        <v>212.06450000000001</v>
      </c>
      <c r="N8" s="46">
        <f t="shared" ref="N8:N15" si="2">E8*G8*12</f>
        <v>12328.29</v>
      </c>
      <c r="P8" s="11">
        <v>5.9179999999999996E-3</v>
      </c>
      <c r="Q8" s="40">
        <f>P8/E8</f>
        <v>1.1835999999999999E-3</v>
      </c>
      <c r="S8">
        <v>426</v>
      </c>
      <c r="T8">
        <f>S8/$S$16</f>
        <v>5.9174885400750103E-2</v>
      </c>
    </row>
    <row r="9" spans="1:20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ref="G9:G15" si="3">F9*$B$20</f>
        <v>228.85849999999999</v>
      </c>
      <c r="H9" s="14">
        <v>228</v>
      </c>
      <c r="I9" s="36">
        <f t="shared" ref="I9:I15" si="4">E9*H9*12</f>
        <v>13680</v>
      </c>
      <c r="J9" s="66">
        <f t="shared" si="0"/>
        <v>1.364779121273794E-3</v>
      </c>
      <c r="K9" s="66">
        <f t="shared" ref="K9:K15" si="5">(H9-20)/$B$25</f>
        <v>1.3320525136087096E-3</v>
      </c>
      <c r="L9" s="66"/>
      <c r="M9" s="29">
        <f t="shared" si="1"/>
        <v>233.9255</v>
      </c>
      <c r="N9" s="46">
        <f t="shared" si="2"/>
        <v>13731.51</v>
      </c>
      <c r="P9" s="20">
        <v>6.6969999999999998E-3</v>
      </c>
      <c r="Q9" s="40">
        <f t="shared" ref="Q9:Q15" si="6">P9/E9</f>
        <v>1.3393999999999999E-3</v>
      </c>
      <c r="S9">
        <v>552</v>
      </c>
      <c r="T9" s="40">
        <f t="shared" ref="T9:T15" si="7">S9/$S$16</f>
        <v>7.6677316293929709E-2</v>
      </c>
    </row>
    <row r="10" spans="1:20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3"/>
        <v>252.24550000000002</v>
      </c>
      <c r="H10" s="14">
        <v>251</v>
      </c>
      <c r="I10" s="36">
        <f t="shared" si="4"/>
        <v>394572</v>
      </c>
      <c r="J10" s="66">
        <f t="shared" si="0"/>
        <v>1.5024542080689573E-3</v>
      </c>
      <c r="K10" s="66">
        <f t="shared" si="5"/>
        <v>1.479346781940442E-3</v>
      </c>
      <c r="L10" s="66"/>
      <c r="M10" s="29">
        <f t="shared" si="1"/>
        <v>255.78650000000002</v>
      </c>
      <c r="N10" s="46">
        <f t="shared" si="2"/>
        <v>396529.92600000009</v>
      </c>
      <c r="P10" s="20">
        <v>0.19432199999999999</v>
      </c>
      <c r="Q10" s="40">
        <f t="shared" si="6"/>
        <v>1.4833740458015266E-3</v>
      </c>
      <c r="S10">
        <v>759</v>
      </c>
      <c r="T10" s="40">
        <f t="shared" si="7"/>
        <v>0.10543130990415335</v>
      </c>
    </row>
    <row r="11" spans="1:20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3"/>
        <v>297.34899999999999</v>
      </c>
      <c r="H11" s="14">
        <v>299</v>
      </c>
      <c r="I11" s="36">
        <f t="shared" si="4"/>
        <v>46644</v>
      </c>
      <c r="J11" s="66">
        <f t="shared" si="0"/>
        <v>1.7897761283371244E-3</v>
      </c>
      <c r="K11" s="66">
        <f t="shared" si="5"/>
        <v>1.786743515850144E-3</v>
      </c>
      <c r="L11" s="66"/>
      <c r="M11" s="29">
        <f t="shared" si="1"/>
        <v>297.947</v>
      </c>
      <c r="N11" s="46">
        <f t="shared" si="2"/>
        <v>46386.443999999996</v>
      </c>
      <c r="P11" s="20">
        <v>2.3234000000000001E-2</v>
      </c>
      <c r="Q11" s="40">
        <f t="shared" si="6"/>
        <v>1.7872307692307693E-3</v>
      </c>
      <c r="S11">
        <v>892</v>
      </c>
      <c r="T11" s="40">
        <f t="shared" si="7"/>
        <v>0.12390609806917627</v>
      </c>
    </row>
    <row r="12" spans="1:20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3"/>
        <v>309.04250000000002</v>
      </c>
      <c r="H12" s="14">
        <v>309</v>
      </c>
      <c r="I12" s="36">
        <f t="shared" si="4"/>
        <v>763848</v>
      </c>
      <c r="J12" s="66">
        <f t="shared" si="0"/>
        <v>1.8496348617263259E-3</v>
      </c>
      <c r="K12" s="66">
        <f t="shared" si="5"/>
        <v>1.8507845020813321E-3</v>
      </c>
      <c r="L12" s="66"/>
      <c r="M12" s="29">
        <f t="shared" si="1"/>
        <v>308.8775</v>
      </c>
      <c r="N12" s="46">
        <f t="shared" si="2"/>
        <v>763953.06</v>
      </c>
      <c r="P12" s="20">
        <v>0.38052799999999998</v>
      </c>
      <c r="Q12" s="40">
        <f t="shared" si="6"/>
        <v>1.8472233009708737E-3</v>
      </c>
      <c r="S12">
        <v>989</v>
      </c>
      <c r="T12" s="40">
        <f t="shared" si="7"/>
        <v>0.13738019169329074</v>
      </c>
    </row>
    <row r="13" spans="1:20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3"/>
        <v>337.44100000000003</v>
      </c>
      <c r="H13" s="14">
        <v>339</v>
      </c>
      <c r="I13" s="36">
        <f t="shared" si="4"/>
        <v>44748</v>
      </c>
      <c r="J13" s="66">
        <f t="shared" si="0"/>
        <v>2.0292110618939305E-3</v>
      </c>
      <c r="K13" s="66">
        <f t="shared" si="5"/>
        <v>2.0429074607748957E-3</v>
      </c>
      <c r="L13" s="66"/>
      <c r="M13" s="29">
        <f t="shared" si="1"/>
        <v>335.423</v>
      </c>
      <c r="N13" s="46">
        <f t="shared" si="2"/>
        <v>44542.212000000007</v>
      </c>
      <c r="P13" s="20">
        <v>2.2387000000000001E-2</v>
      </c>
      <c r="Q13" s="40">
        <f t="shared" si="6"/>
        <v>2.0351818181818184E-3</v>
      </c>
      <c r="S13">
        <v>1124</v>
      </c>
      <c r="T13" s="40">
        <f t="shared" si="7"/>
        <v>0.15613279622169746</v>
      </c>
    </row>
    <row r="14" spans="1:20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3"/>
        <v>344.12300000000005</v>
      </c>
      <c r="H14" s="14">
        <v>345</v>
      </c>
      <c r="I14" s="36">
        <f t="shared" si="4"/>
        <v>633420</v>
      </c>
      <c r="J14" s="66">
        <f t="shared" si="0"/>
        <v>2.0651263019274514E-3</v>
      </c>
      <c r="K14" s="66">
        <f t="shared" si="5"/>
        <v>2.0813320525136089E-3</v>
      </c>
      <c r="L14" s="66"/>
      <c r="M14" s="29">
        <f t="shared" si="1"/>
        <v>341.66900000000004</v>
      </c>
      <c r="N14" s="46">
        <f t="shared" si="2"/>
        <v>631809.8280000001</v>
      </c>
      <c r="P14" s="20">
        <v>0.318718</v>
      </c>
      <c r="Q14" s="40">
        <f t="shared" si="6"/>
        <v>2.0831241830065361E-3</v>
      </c>
      <c r="S14">
        <v>1161</v>
      </c>
      <c r="T14" s="40">
        <f t="shared" si="7"/>
        <v>0.16127239894429782</v>
      </c>
    </row>
    <row r="15" spans="1:20" ht="15.75">
      <c r="A15" s="44">
        <f>A7-A10</f>
        <v>1735007</v>
      </c>
      <c r="B15" s="44">
        <f>B7-B10</f>
        <v>1873800</v>
      </c>
      <c r="C15" s="73">
        <f>(B15-A15)/A15</f>
        <v>7.9995642668876835E-2</v>
      </c>
      <c r="D15" s="27" t="s">
        <v>24</v>
      </c>
      <c r="E15" s="14">
        <v>21</v>
      </c>
      <c r="F15" s="28">
        <v>2.2599999999999999E-3</v>
      </c>
      <c r="G15" s="14">
        <f t="shared" si="3"/>
        <v>377.53299999999996</v>
      </c>
      <c r="H15" s="14">
        <v>379</v>
      </c>
      <c r="I15" s="67">
        <f t="shared" si="4"/>
        <v>95508</v>
      </c>
      <c r="J15" s="66">
        <f t="shared" si="0"/>
        <v>2.2686459954507363E-3</v>
      </c>
      <c r="K15" s="66">
        <f t="shared" si="5"/>
        <v>2.2990714056996477E-3</v>
      </c>
      <c r="L15" s="66"/>
      <c r="M15" s="29">
        <f t="shared" si="1"/>
        <v>372.899</v>
      </c>
      <c r="N15" s="46">
        <f t="shared" si="2"/>
        <v>95138.315999999992</v>
      </c>
      <c r="P15" s="20">
        <v>4.8196000000000003E-2</v>
      </c>
      <c r="Q15" s="40">
        <f t="shared" si="6"/>
        <v>2.2950476190476193E-3</v>
      </c>
      <c r="S15">
        <v>1296</v>
      </c>
      <c r="T15" s="40">
        <f t="shared" si="7"/>
        <v>0.18002500347270453</v>
      </c>
    </row>
    <row r="16" spans="1:20" ht="15.75">
      <c r="A16" s="44"/>
      <c r="B16" s="44"/>
      <c r="C16" s="44"/>
      <c r="D16" s="59"/>
      <c r="E16" s="32">
        <f>SUM(E8:E15)</f>
        <v>545</v>
      </c>
      <c r="F16" s="12"/>
      <c r="G16" s="18"/>
      <c r="H16" s="18"/>
      <c r="I16" s="36">
        <f>SUM(I8:I15)</f>
        <v>2004720</v>
      </c>
      <c r="J16" s="36"/>
      <c r="K16" s="36"/>
      <c r="L16" s="36"/>
      <c r="M16" s="45"/>
      <c r="N16" s="39">
        <f>SUM(N8:N15)</f>
        <v>2004419.5860000006</v>
      </c>
      <c r="S16">
        <f>SUM(S8:S15)</f>
        <v>7199</v>
      </c>
    </row>
    <row r="17" spans="1:14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2004600</v>
      </c>
      <c r="J17" s="11"/>
      <c r="K17" s="11"/>
      <c r="L17" s="11"/>
      <c r="M17" s="11"/>
      <c r="N17" s="45">
        <v>-2004600</v>
      </c>
    </row>
    <row r="18" spans="1:14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120</v>
      </c>
      <c r="J18" s="18"/>
      <c r="K18" s="18"/>
      <c r="L18" s="18"/>
      <c r="M18" s="18"/>
      <c r="N18" s="45">
        <f>N16+N17</f>
        <v>-180.41399999940768</v>
      </c>
    </row>
    <row r="19" spans="1:14" ht="15.75">
      <c r="A19" s="24" t="s">
        <v>61</v>
      </c>
      <c r="B19" s="24" t="s">
        <v>61</v>
      </c>
      <c r="C19" s="24"/>
      <c r="I19" s="45"/>
      <c r="J19" s="45"/>
      <c r="K19" s="45"/>
      <c r="L19" s="45"/>
    </row>
    <row r="20" spans="1:14" ht="15.75">
      <c r="A20" s="44">
        <f>A7/12</f>
        <v>155483.91666666666</v>
      </c>
      <c r="B20" s="44">
        <f>B7/12</f>
        <v>167050</v>
      </c>
      <c r="C20" s="73">
        <f>(B20-A20)/A20</f>
        <v>7.4387651027142745E-2</v>
      </c>
    </row>
    <row r="21" spans="1:14" ht="15.75">
      <c r="A21" s="44"/>
      <c r="B21" s="44"/>
      <c r="C21" s="44"/>
    </row>
    <row r="22" spans="1:14" ht="15.75">
      <c r="A22" s="24" t="s">
        <v>31</v>
      </c>
      <c r="B22" s="24" t="s">
        <v>31</v>
      </c>
      <c r="C22" s="24"/>
    </row>
    <row r="23" spans="1:14" ht="15.75">
      <c r="A23" s="24" t="s">
        <v>65</v>
      </c>
      <c r="B23" s="24" t="s">
        <v>65</v>
      </c>
      <c r="C23" s="24"/>
    </row>
    <row r="24" spans="1:14" ht="15.75">
      <c r="A24" s="24" t="s">
        <v>61</v>
      </c>
      <c r="B24" s="24" t="s">
        <v>61</v>
      </c>
      <c r="C24" s="24"/>
    </row>
    <row r="25" spans="1:14" ht="15.75">
      <c r="A25" s="44">
        <f>A15/12</f>
        <v>144583.91666666666</v>
      </c>
      <c r="B25" s="44">
        <f>B15/12</f>
        <v>156150</v>
      </c>
      <c r="C25" s="73">
        <f>(B25-A25)/A25</f>
        <v>7.9995642668876918E-2</v>
      </c>
    </row>
    <row r="26" spans="1:14" ht="15.75">
      <c r="A26" s="20"/>
      <c r="B26" s="20"/>
      <c r="C26" s="20"/>
    </row>
    <row r="27" spans="1:14" ht="15.75">
      <c r="A27" s="24" t="s">
        <v>61</v>
      </c>
      <c r="B27" s="24" t="s">
        <v>61</v>
      </c>
      <c r="C27" s="24"/>
    </row>
    <row r="28" spans="1:14" ht="15.75">
      <c r="A28" s="20">
        <v>20</v>
      </c>
      <c r="B28" s="20">
        <v>20</v>
      </c>
      <c r="C28" s="20"/>
    </row>
    <row r="45" spans="4:6" ht="15.75">
      <c r="D45" s="11"/>
      <c r="E45" s="13"/>
      <c r="F45" s="1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V28"/>
  <sheetViews>
    <sheetView showGridLines="0" topLeftCell="A16" workbookViewId="0">
      <selection activeCell="J34" sqref="J34"/>
    </sheetView>
  </sheetViews>
  <sheetFormatPr defaultRowHeight="15"/>
  <cols>
    <col min="1" max="2" width="12.140625" bestFit="1" customWidth="1"/>
    <col min="3" max="3" width="8.42578125" customWidth="1"/>
    <col min="4" max="4" width="10.42578125" bestFit="1" customWidth="1"/>
    <col min="5" max="5" width="6" bestFit="1" customWidth="1"/>
    <col min="6" max="6" width="11.140625" bestFit="1" customWidth="1"/>
    <col min="7" max="7" width="6.7109375" customWidth="1"/>
    <col min="8" max="8" width="7.28515625" customWidth="1"/>
    <col min="9" max="9" width="4.5703125" bestFit="1" customWidth="1"/>
    <col min="10" max="10" width="10.140625" style="3" bestFit="1" customWidth="1"/>
    <col min="11" max="11" width="9.5703125" bestFit="1" customWidth="1"/>
    <col min="12" max="12" width="6.85546875" bestFit="1" customWidth="1"/>
    <col min="13" max="13" width="10.140625" bestFit="1" customWidth="1"/>
    <col min="14" max="14" width="11.7109375" bestFit="1" customWidth="1"/>
    <col min="15" max="15" width="8.5703125" bestFit="1" customWidth="1"/>
    <col min="16" max="16" width="9.7109375" bestFit="1" customWidth="1"/>
    <col min="17" max="19" width="11.5703125" bestFit="1" customWidth="1"/>
  </cols>
  <sheetData>
    <row r="4" spans="1:19" ht="27" thickBot="1">
      <c r="A4" s="24">
        <v>2002</v>
      </c>
      <c r="B4" s="24">
        <v>2003</v>
      </c>
      <c r="C4" s="2"/>
      <c r="D4" s="13"/>
      <c r="E4" s="11"/>
      <c r="F4" s="12"/>
      <c r="G4" s="12"/>
      <c r="H4" s="12"/>
      <c r="I4" s="10" t="s">
        <v>36</v>
      </c>
      <c r="J4"/>
      <c r="L4" s="24" t="s">
        <v>34</v>
      </c>
      <c r="M4" s="11" t="s">
        <v>46</v>
      </c>
    </row>
    <row r="5" spans="1:19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20" t="s">
        <v>46</v>
      </c>
      <c r="H5" s="20" t="s">
        <v>46</v>
      </c>
      <c r="I5" s="11" t="s">
        <v>35</v>
      </c>
      <c r="J5"/>
      <c r="L5" s="10" t="s">
        <v>35</v>
      </c>
      <c r="M5" s="11" t="s">
        <v>36</v>
      </c>
      <c r="O5" s="40"/>
      <c r="P5" s="48"/>
      <c r="Q5" s="54" t="s">
        <v>57</v>
      </c>
      <c r="R5" s="54" t="s">
        <v>58</v>
      </c>
      <c r="S5" s="54" t="s">
        <v>59</v>
      </c>
    </row>
    <row r="6" spans="1:19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20" t="s">
        <v>47</v>
      </c>
      <c r="H6" s="20" t="s">
        <v>47</v>
      </c>
      <c r="I6" s="11" t="s">
        <v>14</v>
      </c>
      <c r="J6"/>
      <c r="L6" s="10" t="s">
        <v>14</v>
      </c>
      <c r="M6" s="11" t="s">
        <v>35</v>
      </c>
      <c r="N6" s="47" t="s">
        <v>28</v>
      </c>
      <c r="O6" s="40"/>
      <c r="P6" s="49" t="s">
        <v>4</v>
      </c>
      <c r="Q6" s="50">
        <v>1973</v>
      </c>
      <c r="R6" s="50" t="s">
        <v>53</v>
      </c>
      <c r="S6" s="50">
        <v>2016</v>
      </c>
    </row>
    <row r="7" spans="1:19" ht="16.5" thickBot="1">
      <c r="A7" s="44">
        <v>2004600</v>
      </c>
      <c r="B7" s="44">
        <v>2139972</v>
      </c>
      <c r="C7" s="73">
        <f>(B7-A7)/A7</f>
        <v>6.7530679437294225E-2</v>
      </c>
      <c r="D7" s="26" t="s">
        <v>13</v>
      </c>
      <c r="E7" s="26" t="s">
        <v>2</v>
      </c>
      <c r="F7" s="10" t="s">
        <v>16</v>
      </c>
      <c r="G7" s="78" t="s">
        <v>79</v>
      </c>
      <c r="H7" s="78" t="s">
        <v>78</v>
      </c>
      <c r="I7" s="11" t="s">
        <v>32</v>
      </c>
      <c r="J7" s="10" t="s">
        <v>15</v>
      </c>
      <c r="K7" s="10" t="s">
        <v>35</v>
      </c>
      <c r="L7" s="10" t="s">
        <v>32</v>
      </c>
      <c r="M7" s="11" t="s">
        <v>45</v>
      </c>
      <c r="N7" s="47" t="s">
        <v>29</v>
      </c>
      <c r="O7" s="40"/>
      <c r="P7" s="51" t="s">
        <v>5</v>
      </c>
      <c r="Q7" s="52" t="s">
        <v>54</v>
      </c>
      <c r="R7" s="52" t="s">
        <v>55</v>
      </c>
      <c r="S7" s="52" t="s">
        <v>56</v>
      </c>
    </row>
    <row r="8" spans="1:19" ht="16.5" thickBot="1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v>198</v>
      </c>
      <c r="H8" s="14">
        <v>218</v>
      </c>
      <c r="I8" s="14">
        <f>F8*$B$20</f>
        <v>219.34712999999999</v>
      </c>
      <c r="J8" s="36">
        <f>E8*H8*12</f>
        <v>13080</v>
      </c>
      <c r="K8" s="66">
        <f>H8/($J$16/12)</f>
        <v>1.2224459011613237E-3</v>
      </c>
      <c r="L8" s="29">
        <f t="shared" ref="L8:L15" si="0">F8*$B$25+$B$28</f>
        <v>225.94012999999998</v>
      </c>
      <c r="M8" s="46">
        <f t="shared" ref="M8:M15" si="1">E8*I8*12</f>
        <v>13160.827800000001</v>
      </c>
      <c r="N8" s="21">
        <f>12*G8/F8</f>
        <v>1931707.3170731708</v>
      </c>
      <c r="O8" s="40">
        <f>12*G8/$B$15</f>
        <v>1.1825767032389461E-3</v>
      </c>
      <c r="P8" s="53" t="s">
        <v>17</v>
      </c>
      <c r="Q8" s="55">
        <v>1.2340000000000001E-3</v>
      </c>
      <c r="R8" s="55">
        <v>7.94E-4</v>
      </c>
      <c r="S8" s="55">
        <v>1.1839999999999999E-3</v>
      </c>
    </row>
    <row r="9" spans="1:19" ht="16.5" thickBot="1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v>223</v>
      </c>
      <c r="H9" s="14">
        <v>243</v>
      </c>
      <c r="I9" s="14">
        <f t="shared" ref="I9:I15" si="2">F9*$B$20</f>
        <v>244.31347</v>
      </c>
      <c r="J9" s="36">
        <f t="shared" ref="J9:J15" si="3">E9*H9*12</f>
        <v>14580</v>
      </c>
      <c r="K9" s="66">
        <f t="shared" ref="K9:K15" si="4">H9/($J$16/12)</f>
        <v>1.3626346512945029E-3</v>
      </c>
      <c r="L9" s="29">
        <f t="shared" si="0"/>
        <v>249.38046999999997</v>
      </c>
      <c r="M9" s="46">
        <f t="shared" si="1"/>
        <v>14658.808199999999</v>
      </c>
      <c r="N9" s="21">
        <f t="shared" ref="N9:N15" si="5">12*G9/F9</f>
        <v>1953284.6715328468</v>
      </c>
      <c r="O9" s="40">
        <f t="shared" ref="O9:O15" si="6">12*G9/$B$15</f>
        <v>1.331891943546894E-3</v>
      </c>
      <c r="P9" s="53" t="s">
        <v>18</v>
      </c>
      <c r="Q9" s="55">
        <v>1.372E-3</v>
      </c>
      <c r="R9" s="55">
        <v>1.0280000000000001E-3</v>
      </c>
      <c r="S9" s="55">
        <v>1.3389999999999999E-3</v>
      </c>
    </row>
    <row r="10" spans="1:19" ht="16.5" thickBot="1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v>248</v>
      </c>
      <c r="H10" s="14">
        <v>268</v>
      </c>
      <c r="I10" s="14">
        <f t="shared" si="2"/>
        <v>269.27981</v>
      </c>
      <c r="J10" s="36">
        <f t="shared" si="3"/>
        <v>421296</v>
      </c>
      <c r="K10" s="66">
        <f t="shared" si="4"/>
        <v>1.5028234014276822E-3</v>
      </c>
      <c r="L10" s="29">
        <f t="shared" si="0"/>
        <v>272.82081000000005</v>
      </c>
      <c r="M10" s="46">
        <f t="shared" si="1"/>
        <v>423307.86132000003</v>
      </c>
      <c r="N10" s="21">
        <f t="shared" si="5"/>
        <v>1970860.9271523177</v>
      </c>
      <c r="O10" s="40">
        <f t="shared" si="6"/>
        <v>1.4812071838548417E-3</v>
      </c>
      <c r="P10" s="53" t="s">
        <v>19</v>
      </c>
      <c r="Q10" s="55">
        <v>1.5089999999999999E-3</v>
      </c>
      <c r="R10" s="55">
        <v>1.4139999999999999E-3</v>
      </c>
      <c r="S10" s="55">
        <v>1.4829999999999999E-3</v>
      </c>
    </row>
    <row r="11" spans="1:19" ht="16.5" thickBot="1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v>299</v>
      </c>
      <c r="H11" s="14">
        <v>319</v>
      </c>
      <c r="I11" s="14">
        <f t="shared" si="2"/>
        <v>317.42917999999997</v>
      </c>
      <c r="J11" s="36">
        <f t="shared" si="3"/>
        <v>49764</v>
      </c>
      <c r="K11" s="66">
        <f t="shared" si="4"/>
        <v>1.788808451699368E-3</v>
      </c>
      <c r="L11" s="29">
        <f t="shared" si="0"/>
        <v>318.02717999999999</v>
      </c>
      <c r="M11" s="46">
        <f t="shared" si="1"/>
        <v>49518.952079999988</v>
      </c>
      <c r="N11" s="21">
        <f t="shared" si="5"/>
        <v>2015730.3370786519</v>
      </c>
      <c r="O11" s="40">
        <f t="shared" si="6"/>
        <v>1.7858102740830552E-3</v>
      </c>
      <c r="P11" s="53" t="s">
        <v>20</v>
      </c>
      <c r="Q11" s="55">
        <v>1.7830000000000001E-3</v>
      </c>
      <c r="R11" s="55">
        <v>1.6620000000000001E-3</v>
      </c>
      <c r="S11" s="55">
        <v>1.787E-3</v>
      </c>
    </row>
    <row r="12" spans="1:19" ht="16.5" thickBot="1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v>310</v>
      </c>
      <c r="H12" s="14">
        <v>330</v>
      </c>
      <c r="I12" s="14">
        <f t="shared" si="2"/>
        <v>329.91235</v>
      </c>
      <c r="J12" s="36">
        <f t="shared" si="3"/>
        <v>815760</v>
      </c>
      <c r="K12" s="66">
        <f t="shared" si="4"/>
        <v>1.8504915017579669E-3</v>
      </c>
      <c r="L12" s="29">
        <f t="shared" si="0"/>
        <v>329.74735000000004</v>
      </c>
      <c r="M12" s="46">
        <f t="shared" si="1"/>
        <v>815543.32920000004</v>
      </c>
      <c r="N12" s="21">
        <f t="shared" si="5"/>
        <v>2010810.8108108107</v>
      </c>
      <c r="O12" s="40">
        <f t="shared" si="6"/>
        <v>1.8515089798185522E-3</v>
      </c>
      <c r="P12" s="53" t="s">
        <v>21</v>
      </c>
      <c r="Q12" s="55">
        <v>1.8519999999999999E-3</v>
      </c>
      <c r="R12" s="55">
        <v>1.8420000000000001E-3</v>
      </c>
      <c r="S12" s="55">
        <v>1.8469999999999999E-3</v>
      </c>
    </row>
    <row r="13" spans="1:19" ht="16.5" thickBot="1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2.0219999999999999E-3</v>
      </c>
      <c r="G13" s="14">
        <v>342</v>
      </c>
      <c r="H13" s="14">
        <v>362</v>
      </c>
      <c r="I13" s="14">
        <f t="shared" si="2"/>
        <v>360.58528200000001</v>
      </c>
      <c r="J13" s="36">
        <f t="shared" si="3"/>
        <v>47784</v>
      </c>
      <c r="K13" s="66">
        <f t="shared" si="4"/>
        <v>2.0299331019284364E-3</v>
      </c>
      <c r="L13" s="29">
        <f t="shared" si="0"/>
        <v>358.54548199999999</v>
      </c>
      <c r="M13" s="46">
        <f t="shared" si="1"/>
        <v>47597.257224000001</v>
      </c>
      <c r="N13" s="21">
        <f t="shared" si="5"/>
        <v>2029673.5905044512</v>
      </c>
      <c r="O13" s="40">
        <f t="shared" si="6"/>
        <v>2.0426324874127252E-3</v>
      </c>
      <c r="P13" s="53" t="s">
        <v>22</v>
      </c>
      <c r="Q13" s="55">
        <v>2.0230000000000001E-3</v>
      </c>
      <c r="R13" s="55">
        <v>2.0939999999999999E-3</v>
      </c>
      <c r="S13" s="55">
        <v>2.0349999999999999E-3</v>
      </c>
    </row>
    <row r="14" spans="1:19" ht="16.5" thickBot="1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v>348</v>
      </c>
      <c r="H14" s="14">
        <v>368</v>
      </c>
      <c r="I14" s="14">
        <f t="shared" si="2"/>
        <v>367.36186000000004</v>
      </c>
      <c r="J14" s="36">
        <f t="shared" si="3"/>
        <v>675648</v>
      </c>
      <c r="K14" s="66">
        <f t="shared" si="4"/>
        <v>2.0635784019603994E-3</v>
      </c>
      <c r="L14" s="29">
        <f t="shared" si="0"/>
        <v>364.90786000000003</v>
      </c>
      <c r="M14" s="46">
        <f t="shared" si="1"/>
        <v>674476.37496000016</v>
      </c>
      <c r="N14" s="21">
        <f t="shared" si="5"/>
        <v>2027184.4660194174</v>
      </c>
      <c r="O14" s="40">
        <f t="shared" si="6"/>
        <v>2.0784681450866328E-3</v>
      </c>
      <c r="P14" s="53" t="s">
        <v>39</v>
      </c>
      <c r="Q14" s="55">
        <v>2.0579999999999999E-3</v>
      </c>
      <c r="R14" s="55">
        <v>2.163E-3</v>
      </c>
      <c r="S14" s="55">
        <v>2.0830000000000002E-3</v>
      </c>
    </row>
    <row r="15" spans="1:19" ht="16.5" thickBot="1">
      <c r="A15" s="44">
        <f>A7-A10</f>
        <v>1873800</v>
      </c>
      <c r="B15" s="44">
        <f>B7-B10</f>
        <v>2009172</v>
      </c>
      <c r="C15" s="73">
        <f>(B15-A15)/A15</f>
        <v>7.2244636567403139E-2</v>
      </c>
      <c r="D15" s="27" t="s">
        <v>24</v>
      </c>
      <c r="E15" s="14">
        <v>21</v>
      </c>
      <c r="F15" s="28">
        <v>2.2599999999999999E-3</v>
      </c>
      <c r="G15" s="14">
        <v>385</v>
      </c>
      <c r="H15" s="14">
        <v>405</v>
      </c>
      <c r="I15" s="14">
        <f t="shared" si="2"/>
        <v>403.02805999999998</v>
      </c>
      <c r="J15" s="36">
        <f t="shared" si="3"/>
        <v>102060</v>
      </c>
      <c r="K15" s="66">
        <f t="shared" si="4"/>
        <v>2.2710577521575051E-3</v>
      </c>
      <c r="L15" s="29">
        <f t="shared" si="0"/>
        <v>398.39405999999997</v>
      </c>
      <c r="M15" s="46">
        <f t="shared" si="1"/>
        <v>101563.07111999998</v>
      </c>
      <c r="N15" s="21">
        <f t="shared" si="5"/>
        <v>2044247.7876106196</v>
      </c>
      <c r="O15" s="40">
        <f t="shared" si="6"/>
        <v>2.2994547007423954E-3</v>
      </c>
      <c r="P15" s="53" t="s">
        <v>24</v>
      </c>
      <c r="Q15" s="55">
        <v>2.264E-3</v>
      </c>
      <c r="R15" s="55">
        <v>2.4139999999999999E-3</v>
      </c>
      <c r="S15" s="55">
        <v>2.2950000000000002E-3</v>
      </c>
    </row>
    <row r="16" spans="1:19" ht="15.75">
      <c r="A16" s="44"/>
      <c r="B16" s="44"/>
      <c r="C16" s="44"/>
      <c r="D16" s="79"/>
      <c r="E16" s="80"/>
      <c r="F16" s="12"/>
      <c r="G16" s="12"/>
      <c r="H16" s="12"/>
      <c r="I16" s="18"/>
      <c r="J16" s="36">
        <f>SUM(J8:J15)</f>
        <v>2139972</v>
      </c>
      <c r="K16" s="36"/>
      <c r="L16" s="45"/>
      <c r="M16" s="39">
        <f>SUM(M8:M15)</f>
        <v>2139826.481904</v>
      </c>
      <c r="O16" s="40"/>
    </row>
    <row r="17" spans="1:22" ht="15.75">
      <c r="A17" s="24" t="s">
        <v>31</v>
      </c>
      <c r="B17" s="24" t="s">
        <v>31</v>
      </c>
      <c r="C17" s="24"/>
      <c r="D17" s="13"/>
      <c r="E17" s="11"/>
      <c r="F17" s="12"/>
      <c r="G17" s="12"/>
      <c r="H17" s="12"/>
      <c r="I17" s="15"/>
      <c r="J17" s="72">
        <f>B7</f>
        <v>2139972</v>
      </c>
      <c r="K17" s="11"/>
      <c r="L17" s="11"/>
      <c r="M17" s="45"/>
      <c r="O17" s="40"/>
    </row>
    <row r="18" spans="1:22" ht="15.75">
      <c r="A18" s="24" t="s">
        <v>64</v>
      </c>
      <c r="B18" s="24" t="s">
        <v>64</v>
      </c>
      <c r="C18" s="24"/>
      <c r="D18" s="13"/>
      <c r="E18" s="16"/>
      <c r="F18" s="12"/>
      <c r="G18" s="12"/>
      <c r="H18" s="12"/>
      <c r="I18" s="18"/>
      <c r="J18" s="39">
        <f>J16-J17</f>
        <v>0</v>
      </c>
      <c r="K18" s="18"/>
      <c r="L18" s="18"/>
      <c r="M18" s="45"/>
      <c r="O18" s="40"/>
    </row>
    <row r="19" spans="1:22" ht="15.75">
      <c r="A19" s="24" t="s">
        <v>61</v>
      </c>
      <c r="B19" s="24" t="s">
        <v>61</v>
      </c>
      <c r="C19" s="24"/>
      <c r="J19" s="45"/>
      <c r="K19" s="45"/>
    </row>
    <row r="20" spans="1:22" ht="15.75">
      <c r="A20" s="44">
        <f>A7/12</f>
        <v>167050</v>
      </c>
      <c r="B20" s="44">
        <f>B7/12</f>
        <v>178331</v>
      </c>
      <c r="C20" s="73">
        <f>(B20-A20)/A20</f>
        <v>6.7530679437294225E-2</v>
      </c>
    </row>
    <row r="21" spans="1:22" ht="17.25">
      <c r="A21" s="44"/>
      <c r="B21" s="44"/>
      <c r="C21" s="44"/>
      <c r="P21" s="81"/>
      <c r="Q21" s="81"/>
      <c r="R21" s="81"/>
      <c r="S21" s="81"/>
      <c r="T21" s="82"/>
      <c r="U21" s="81"/>
      <c r="V21" s="82"/>
    </row>
    <row r="22" spans="1:22" ht="15.75">
      <c r="A22" s="24" t="s">
        <v>31</v>
      </c>
      <c r="B22" s="24" t="s">
        <v>31</v>
      </c>
      <c r="C22" s="24"/>
    </row>
    <row r="23" spans="1:22" ht="15.75">
      <c r="A23" s="24" t="s">
        <v>65</v>
      </c>
      <c r="B23" s="24" t="s">
        <v>65</v>
      </c>
      <c r="C23" s="24"/>
    </row>
    <row r="24" spans="1:22" ht="15.75">
      <c r="A24" s="24" t="s">
        <v>61</v>
      </c>
      <c r="B24" s="24" t="s">
        <v>61</v>
      </c>
      <c r="C24" s="24"/>
    </row>
    <row r="25" spans="1:22" ht="15.75">
      <c r="A25" s="44">
        <f>A15/12</f>
        <v>156150</v>
      </c>
      <c r="B25" s="44">
        <f>B15/12</f>
        <v>167431</v>
      </c>
      <c r="C25" s="73">
        <f>(B25-A25)/A25</f>
        <v>7.2244636567403139E-2</v>
      </c>
    </row>
    <row r="26" spans="1:22" ht="15.75">
      <c r="A26" s="20"/>
      <c r="B26" s="20"/>
      <c r="C26" s="20"/>
    </row>
    <row r="27" spans="1:22" ht="15.75">
      <c r="A27" s="24" t="s">
        <v>61</v>
      </c>
      <c r="B27" s="24" t="s">
        <v>61</v>
      </c>
      <c r="C27" s="24"/>
    </row>
    <row r="28" spans="1:22" ht="15.75">
      <c r="A28" s="20">
        <v>20</v>
      </c>
      <c r="B28" s="20">
        <v>20</v>
      </c>
      <c r="C28" s="20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8"/>
  <sheetViews>
    <sheetView showGridLines="0" topLeftCell="A19" workbookViewId="0">
      <selection activeCell="A8" sqref="A8"/>
    </sheetView>
  </sheetViews>
  <sheetFormatPr defaultRowHeight="15"/>
  <cols>
    <col min="1" max="2" width="12.140625" bestFit="1" customWidth="1"/>
    <col min="3" max="3" width="8.42578125" bestFit="1" customWidth="1"/>
    <col min="4" max="4" width="10.42578125" bestFit="1" customWidth="1"/>
    <col min="5" max="5" width="6" bestFit="1" customWidth="1"/>
    <col min="6" max="6" width="11.140625" customWidth="1"/>
    <col min="7" max="7" width="6.5703125" customWidth="1"/>
    <col min="8" max="8" width="7" customWidth="1"/>
    <col min="9" max="9" width="4.5703125" customWidth="1"/>
    <col min="10" max="10" width="10.140625" customWidth="1"/>
    <col min="11" max="11" width="9.5703125" customWidth="1"/>
    <col min="12" max="12" width="6.85546875" bestFit="1" customWidth="1"/>
    <col min="13" max="13" width="10.140625" customWidth="1"/>
    <col min="14" max="14" width="11.7109375" bestFit="1" customWidth="1"/>
    <col min="15" max="15" width="8.5703125" bestFit="1" customWidth="1"/>
    <col min="16" max="16" width="12.42578125" customWidth="1"/>
    <col min="17" max="18" width="11.5703125" bestFit="1" customWidth="1"/>
  </cols>
  <sheetData>
    <row r="1" spans="1:18" s="1" customFormat="1" ht="26.25">
      <c r="A1" s="1" t="s">
        <v>96</v>
      </c>
    </row>
    <row r="4" spans="1:18" ht="26.25">
      <c r="A4" s="24">
        <v>2003</v>
      </c>
      <c r="B4" s="24">
        <v>2004</v>
      </c>
      <c r="C4" s="2"/>
      <c r="D4" s="13"/>
      <c r="E4" s="11"/>
      <c r="F4" s="12"/>
      <c r="G4" s="12"/>
      <c r="H4" s="12"/>
      <c r="I4" s="10" t="s">
        <v>36</v>
      </c>
      <c r="L4" s="24" t="s">
        <v>34</v>
      </c>
      <c r="M4" s="11" t="s">
        <v>46</v>
      </c>
      <c r="P4" s="89" t="s">
        <v>57</v>
      </c>
      <c r="Q4" s="89" t="s">
        <v>58</v>
      </c>
      <c r="R4" s="89" t="s">
        <v>59</v>
      </c>
    </row>
    <row r="5" spans="1:18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20" t="s">
        <v>46</v>
      </c>
      <c r="H5" s="20" t="s">
        <v>46</v>
      </c>
      <c r="I5" s="11" t="s">
        <v>35</v>
      </c>
      <c r="L5" s="10" t="s">
        <v>35</v>
      </c>
      <c r="M5" s="11" t="s">
        <v>36</v>
      </c>
      <c r="O5" s="40"/>
      <c r="P5" s="91" t="s">
        <v>57</v>
      </c>
      <c r="Q5" s="91" t="s">
        <v>58</v>
      </c>
      <c r="R5" s="91" t="s">
        <v>59</v>
      </c>
    </row>
    <row r="6" spans="1:18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20" t="s">
        <v>47</v>
      </c>
      <c r="H6" s="20" t="s">
        <v>47</v>
      </c>
      <c r="I6" s="11" t="s">
        <v>14</v>
      </c>
      <c r="L6" s="10" t="s">
        <v>14</v>
      </c>
      <c r="M6" s="11" t="s">
        <v>35</v>
      </c>
      <c r="N6" s="47" t="s">
        <v>28</v>
      </c>
      <c r="O6" s="40"/>
      <c r="P6" s="92">
        <v>1973</v>
      </c>
      <c r="Q6" s="92" t="s">
        <v>53</v>
      </c>
      <c r="R6" s="92">
        <v>2016</v>
      </c>
    </row>
    <row r="7" spans="1:18" ht="15.75">
      <c r="A7" s="44">
        <v>2139972</v>
      </c>
      <c r="B7" s="44">
        <v>2139397</v>
      </c>
      <c r="C7" s="73">
        <f>(B7-A7)/A7</f>
        <v>-2.68695104421927E-4</v>
      </c>
      <c r="D7" s="26" t="s">
        <v>13</v>
      </c>
      <c r="E7" s="26" t="s">
        <v>2</v>
      </c>
      <c r="F7" s="10" t="s">
        <v>16</v>
      </c>
      <c r="G7" s="78" t="s">
        <v>79</v>
      </c>
      <c r="H7" s="78" t="s">
        <v>78</v>
      </c>
      <c r="I7" s="11" t="s">
        <v>32</v>
      </c>
      <c r="J7" s="10" t="s">
        <v>15</v>
      </c>
      <c r="K7" s="10" t="s">
        <v>35</v>
      </c>
      <c r="L7" s="10" t="s">
        <v>32</v>
      </c>
      <c r="M7" s="11" t="s">
        <v>45</v>
      </c>
      <c r="N7" s="47" t="s">
        <v>29</v>
      </c>
      <c r="O7" s="40"/>
      <c r="P7" s="93" t="s">
        <v>54</v>
      </c>
      <c r="Q7" s="93" t="s">
        <v>55</v>
      </c>
      <c r="R7" s="93" t="s">
        <v>56</v>
      </c>
    </row>
    <row r="8" spans="1:18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v>198</v>
      </c>
      <c r="H8" s="14">
        <v>218</v>
      </c>
      <c r="I8" s="14">
        <f>F8*$B$20</f>
        <v>219.28819250000001</v>
      </c>
      <c r="J8" s="36">
        <f>E8*H8*12</f>
        <v>13080</v>
      </c>
      <c r="K8" s="66">
        <f>H8/($J$16/12)</f>
        <v>1.2224459011613237E-3</v>
      </c>
      <c r="L8" s="29">
        <f t="shared" ref="L8:L15" si="0">F8*$B$25+$B$28</f>
        <v>225.8811925</v>
      </c>
      <c r="M8" s="46">
        <f t="shared" ref="M8:M15" si="1">E8*I8*12</f>
        <v>13157.291550000002</v>
      </c>
      <c r="N8" s="21">
        <f>12*G8/F8</f>
        <v>1931707.3170731708</v>
      </c>
      <c r="O8" s="40">
        <f>12*G8/$B$15</f>
        <v>1.1829152388458213E-3</v>
      </c>
      <c r="P8" s="90">
        <v>1.2340000000000001E-3</v>
      </c>
      <c r="Q8" s="90">
        <v>7.94E-4</v>
      </c>
      <c r="R8" s="90">
        <v>1.1839999999999999E-3</v>
      </c>
    </row>
    <row r="9" spans="1:18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v>223</v>
      </c>
      <c r="H9" s="14">
        <v>243</v>
      </c>
      <c r="I9" s="14">
        <f t="shared" ref="I9:I15" si="2">F9*$B$20</f>
        <v>244.24782416666667</v>
      </c>
      <c r="J9" s="36">
        <f t="shared" ref="J9:J15" si="3">E9*H9*12</f>
        <v>14580</v>
      </c>
      <c r="K9" s="66">
        <f t="shared" ref="K9:K15" si="4">H9/($J$16/12)</f>
        <v>1.3626346512945029E-3</v>
      </c>
      <c r="L9" s="29">
        <f t="shared" si="0"/>
        <v>249.31482416666665</v>
      </c>
      <c r="M9" s="46">
        <f t="shared" si="1"/>
        <v>14654.86945</v>
      </c>
      <c r="N9" s="21">
        <f t="shared" ref="N9:N15" si="5">12*G9/F9</f>
        <v>1953284.6715328468</v>
      </c>
      <c r="O9" s="40">
        <f t="shared" ref="O9:O15" si="6">12*G9/$B$15</f>
        <v>1.3322732235485765E-3</v>
      </c>
      <c r="P9" s="90">
        <v>1.372E-3</v>
      </c>
      <c r="Q9" s="90">
        <v>1.0280000000000001E-3</v>
      </c>
      <c r="R9" s="90">
        <v>1.3389999999999999E-3</v>
      </c>
    </row>
    <row r="10" spans="1:18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v>248</v>
      </c>
      <c r="H10" s="14">
        <v>268</v>
      </c>
      <c r="I10" s="14">
        <f t="shared" si="2"/>
        <v>269.20745583333337</v>
      </c>
      <c r="J10" s="36">
        <f t="shared" si="3"/>
        <v>421296</v>
      </c>
      <c r="K10" s="66">
        <f t="shared" si="4"/>
        <v>1.5028234014276822E-3</v>
      </c>
      <c r="L10" s="29">
        <f t="shared" si="0"/>
        <v>272.74845583333337</v>
      </c>
      <c r="M10" s="46">
        <f t="shared" si="1"/>
        <v>423194.12057000003</v>
      </c>
      <c r="N10" s="21">
        <f t="shared" si="5"/>
        <v>1970860.9271523177</v>
      </c>
      <c r="O10" s="40">
        <f t="shared" si="6"/>
        <v>1.4816312082513317E-3</v>
      </c>
      <c r="P10" s="90">
        <v>1.5089999999999999E-3</v>
      </c>
      <c r="Q10" s="90">
        <v>1.4139999999999999E-3</v>
      </c>
      <c r="R10" s="90">
        <v>1.4829999999999999E-3</v>
      </c>
    </row>
    <row r="11" spans="1:18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v>299</v>
      </c>
      <c r="H11" s="14">
        <v>319</v>
      </c>
      <c r="I11" s="14">
        <f t="shared" si="2"/>
        <v>317.34388833333333</v>
      </c>
      <c r="J11" s="36">
        <f t="shared" si="3"/>
        <v>49764</v>
      </c>
      <c r="K11" s="66">
        <f t="shared" si="4"/>
        <v>1.788808451699368E-3</v>
      </c>
      <c r="L11" s="29">
        <f t="shared" si="0"/>
        <v>317.94188833333334</v>
      </c>
      <c r="M11" s="46">
        <f t="shared" si="1"/>
        <v>49505.646579999993</v>
      </c>
      <c r="N11" s="21">
        <f t="shared" si="5"/>
        <v>2015730.3370786519</v>
      </c>
      <c r="O11" s="40">
        <f t="shared" si="6"/>
        <v>1.7863214970449523E-3</v>
      </c>
      <c r="P11" s="90">
        <v>1.7830000000000001E-3</v>
      </c>
      <c r="Q11" s="90">
        <v>1.6620000000000001E-3</v>
      </c>
      <c r="R11" s="90">
        <v>1.787E-3</v>
      </c>
    </row>
    <row r="12" spans="1:18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v>310</v>
      </c>
      <c r="H12" s="14">
        <v>330</v>
      </c>
      <c r="I12" s="14">
        <f t="shared" si="2"/>
        <v>329.82370416666669</v>
      </c>
      <c r="J12" s="36">
        <f t="shared" si="3"/>
        <v>815760</v>
      </c>
      <c r="K12" s="66">
        <f t="shared" si="4"/>
        <v>1.8504915017579669E-3</v>
      </c>
      <c r="L12" s="29">
        <f t="shared" si="0"/>
        <v>329.65870416666672</v>
      </c>
      <c r="M12" s="46">
        <f t="shared" si="1"/>
        <v>815324.19669999997</v>
      </c>
      <c r="N12" s="21">
        <f t="shared" si="5"/>
        <v>2010810.8108108107</v>
      </c>
      <c r="O12" s="40">
        <f t="shared" si="6"/>
        <v>1.8520390103141647E-3</v>
      </c>
      <c r="P12" s="90">
        <v>1.8519999999999999E-3</v>
      </c>
      <c r="Q12" s="90">
        <v>1.8420000000000001E-3</v>
      </c>
      <c r="R12" s="90">
        <v>1.8469999999999999E-3</v>
      </c>
    </row>
    <row r="13" spans="1:18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2.0219999999999999E-3</v>
      </c>
      <c r="G13" s="14">
        <v>342</v>
      </c>
      <c r="H13" s="14">
        <v>362</v>
      </c>
      <c r="I13" s="14">
        <f t="shared" si="2"/>
        <v>360.48839450000003</v>
      </c>
      <c r="J13" s="36">
        <f t="shared" si="3"/>
        <v>47784</v>
      </c>
      <c r="K13" s="66">
        <f t="shared" si="4"/>
        <v>2.0299331019284364E-3</v>
      </c>
      <c r="L13" s="29">
        <f t="shared" si="0"/>
        <v>358.44859450000001</v>
      </c>
      <c r="M13" s="46">
        <f t="shared" si="1"/>
        <v>47584.468074000004</v>
      </c>
      <c r="N13" s="21">
        <f t="shared" si="5"/>
        <v>2029673.5905044512</v>
      </c>
      <c r="O13" s="40">
        <f t="shared" si="6"/>
        <v>2.0432172307336912E-3</v>
      </c>
      <c r="P13" s="90">
        <v>2.0230000000000001E-3</v>
      </c>
      <c r="Q13" s="90">
        <v>2.0939999999999999E-3</v>
      </c>
      <c r="R13" s="90">
        <v>2.0349999999999999E-3</v>
      </c>
    </row>
    <row r="14" spans="1:18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v>348</v>
      </c>
      <c r="H14" s="14">
        <v>368</v>
      </c>
      <c r="I14" s="14">
        <f t="shared" si="2"/>
        <v>367.26315166666672</v>
      </c>
      <c r="J14" s="36">
        <f t="shared" si="3"/>
        <v>675648</v>
      </c>
      <c r="K14" s="66">
        <f t="shared" si="4"/>
        <v>2.0635784019603994E-3</v>
      </c>
      <c r="L14" s="29">
        <f t="shared" si="0"/>
        <v>364.80915166666671</v>
      </c>
      <c r="M14" s="46">
        <f t="shared" si="1"/>
        <v>674295.14646000008</v>
      </c>
      <c r="N14" s="21">
        <f t="shared" si="5"/>
        <v>2027184.4660194174</v>
      </c>
      <c r="O14" s="40">
        <f t="shared" si="6"/>
        <v>2.0790631470623527E-3</v>
      </c>
      <c r="P14" s="90">
        <v>2.0579999999999999E-3</v>
      </c>
      <c r="Q14" s="90">
        <v>2.163E-3</v>
      </c>
      <c r="R14" s="90">
        <v>2.0830000000000002E-3</v>
      </c>
    </row>
    <row r="15" spans="1:18" ht="15.75">
      <c r="A15" s="44">
        <f>A7-A10</f>
        <v>2009172</v>
      </c>
      <c r="B15" s="44">
        <f>B7-B10</f>
        <v>2008597</v>
      </c>
      <c r="C15" s="73">
        <f>(B15-A15)/A15</f>
        <v>-2.8618754392356654E-4</v>
      </c>
      <c r="D15" s="27" t="s">
        <v>24</v>
      </c>
      <c r="E15" s="14">
        <v>21</v>
      </c>
      <c r="F15" s="28">
        <v>2.2599999999999999E-3</v>
      </c>
      <c r="G15" s="14">
        <v>385</v>
      </c>
      <c r="H15" s="14">
        <v>405</v>
      </c>
      <c r="I15" s="14">
        <f t="shared" si="2"/>
        <v>402.91976833333331</v>
      </c>
      <c r="J15" s="36">
        <f t="shared" si="3"/>
        <v>102060</v>
      </c>
      <c r="K15" s="66">
        <f t="shared" si="4"/>
        <v>2.2710577521575051E-3</v>
      </c>
      <c r="L15" s="29">
        <f t="shared" si="0"/>
        <v>398.28576833333335</v>
      </c>
      <c r="M15" s="46">
        <f t="shared" si="1"/>
        <v>101535.78161999999</v>
      </c>
      <c r="N15" s="21">
        <f t="shared" si="5"/>
        <v>2044247.7876106196</v>
      </c>
      <c r="O15" s="40">
        <f t="shared" si="6"/>
        <v>2.3001129644224304E-3</v>
      </c>
      <c r="P15" s="90">
        <v>2.264E-3</v>
      </c>
      <c r="Q15" s="90">
        <v>2.4139999999999999E-3</v>
      </c>
      <c r="R15" s="90">
        <v>2.2950000000000002E-3</v>
      </c>
    </row>
    <row r="16" spans="1:18" ht="15.75">
      <c r="A16" s="44"/>
      <c r="B16" s="44"/>
      <c r="C16" s="44"/>
      <c r="D16" s="79"/>
      <c r="E16" s="80"/>
      <c r="F16" s="12"/>
      <c r="G16" s="12"/>
      <c r="H16" s="12"/>
      <c r="I16" s="18"/>
      <c r="J16" s="36">
        <f>SUM(J8:J15)</f>
        <v>2139972</v>
      </c>
      <c r="K16" s="36"/>
      <c r="L16" s="45"/>
      <c r="M16" s="39">
        <f>SUM(M8:M15)</f>
        <v>2139251.5210040002</v>
      </c>
      <c r="O16" s="40"/>
    </row>
    <row r="17" spans="1:15" ht="15.75">
      <c r="A17" s="24" t="s">
        <v>31</v>
      </c>
      <c r="B17" s="24" t="s">
        <v>31</v>
      </c>
      <c r="C17" s="24"/>
      <c r="D17" s="13"/>
      <c r="E17" s="11"/>
      <c r="F17" s="12"/>
      <c r="G17" s="12"/>
      <c r="H17" s="12"/>
      <c r="I17" s="15"/>
      <c r="J17" s="72">
        <f>B7</f>
        <v>2139397</v>
      </c>
      <c r="K17" s="11"/>
      <c r="L17" s="11"/>
      <c r="M17" s="45"/>
      <c r="O17" s="40"/>
    </row>
    <row r="18" spans="1:15" ht="15.75">
      <c r="A18" s="24" t="s">
        <v>64</v>
      </c>
      <c r="B18" s="24" t="s">
        <v>64</v>
      </c>
      <c r="C18" s="24"/>
      <c r="D18" s="13"/>
      <c r="E18" s="16"/>
      <c r="F18" s="12"/>
      <c r="G18" s="12"/>
      <c r="H18" s="12"/>
      <c r="I18" s="18"/>
      <c r="J18" s="39">
        <f>J16-J17</f>
        <v>575</v>
      </c>
      <c r="K18" s="18"/>
      <c r="L18" s="18"/>
      <c r="M18" s="45"/>
      <c r="O18" s="40"/>
    </row>
    <row r="19" spans="1:15" ht="15.75">
      <c r="A19" s="24" t="s">
        <v>61</v>
      </c>
      <c r="B19" s="24" t="s">
        <v>61</v>
      </c>
      <c r="C19" s="24"/>
    </row>
    <row r="20" spans="1:15" ht="15.75">
      <c r="A20" s="44">
        <f>A7/12</f>
        <v>178331</v>
      </c>
      <c r="B20" s="44">
        <f>B7/12</f>
        <v>178283.08333333334</v>
      </c>
      <c r="C20" s="73">
        <f>(B20-A20)/A20</f>
        <v>-2.6869510442187263E-4</v>
      </c>
    </row>
    <row r="21" spans="1:15" ht="15.75">
      <c r="A21" s="44"/>
      <c r="B21" s="44"/>
      <c r="C21" s="44"/>
    </row>
    <row r="22" spans="1:15" ht="15.75">
      <c r="A22" s="24" t="s">
        <v>31</v>
      </c>
      <c r="B22" s="24" t="s">
        <v>31</v>
      </c>
      <c r="C22" s="24"/>
    </row>
    <row r="23" spans="1:15" ht="15.75">
      <c r="A23" s="24" t="s">
        <v>65</v>
      </c>
      <c r="B23" s="24" t="s">
        <v>65</v>
      </c>
      <c r="C23" s="24"/>
    </row>
    <row r="24" spans="1:15" ht="15.75">
      <c r="A24" s="24" t="s">
        <v>61</v>
      </c>
      <c r="B24" s="24" t="s">
        <v>61</v>
      </c>
      <c r="C24" s="24"/>
    </row>
    <row r="25" spans="1:15" ht="15.75">
      <c r="A25" s="44">
        <f>A15/12</f>
        <v>167431</v>
      </c>
      <c r="B25" s="44">
        <f>B15/12</f>
        <v>167383.08333333334</v>
      </c>
      <c r="C25" s="73">
        <f>(B25-A25)/A25</f>
        <v>-2.8618754392350859E-4</v>
      </c>
    </row>
    <row r="26" spans="1:15" ht="15.75">
      <c r="A26" s="20"/>
      <c r="B26" s="20"/>
      <c r="C26" s="20"/>
    </row>
    <row r="27" spans="1:15" ht="15.75">
      <c r="A27" s="24" t="s">
        <v>61</v>
      </c>
      <c r="B27" s="24" t="s">
        <v>61</v>
      </c>
      <c r="C27" s="24"/>
    </row>
    <row r="28" spans="1:15" ht="15.75">
      <c r="A28" s="20">
        <v>20</v>
      </c>
      <c r="B28" s="20">
        <v>20</v>
      </c>
      <c r="C28" s="20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R39"/>
  <sheetViews>
    <sheetView showGridLines="0" topLeftCell="A25" workbookViewId="0">
      <selection activeCell="L8" sqref="L8"/>
    </sheetView>
  </sheetViews>
  <sheetFormatPr defaultRowHeight="15"/>
  <cols>
    <col min="1" max="1" width="10.7109375" customWidth="1"/>
    <col min="2" max="2" width="12" customWidth="1"/>
    <col min="4" max="4" width="10.42578125" customWidth="1"/>
    <col min="5" max="5" width="5.85546875" customWidth="1"/>
    <col min="6" max="6" width="11.140625" customWidth="1"/>
    <col min="7" max="7" width="6.5703125" customWidth="1"/>
    <col min="8" max="8" width="7" customWidth="1"/>
    <col min="9" max="9" width="5" customWidth="1"/>
    <col min="10" max="10" width="7" customWidth="1"/>
    <col min="11" max="11" width="10.140625" customWidth="1"/>
    <col min="12" max="12" width="9.5703125" customWidth="1"/>
    <col min="13" max="13" width="6.85546875" customWidth="1"/>
    <col min="14" max="14" width="10.140625" customWidth="1"/>
    <col min="15" max="15" width="11.7109375" customWidth="1"/>
    <col min="16" max="16" width="8.5703125" customWidth="1"/>
    <col min="17" max="18" width="11.5703125" bestFit="1" customWidth="1"/>
  </cols>
  <sheetData>
    <row r="2" spans="1:18">
      <c r="I2" t="s">
        <v>99</v>
      </c>
      <c r="J2" s="3" t="s">
        <v>99</v>
      </c>
    </row>
    <row r="3" spans="1:18">
      <c r="I3">
        <v>1973</v>
      </c>
      <c r="J3" s="3">
        <v>2016</v>
      </c>
    </row>
    <row r="4" spans="1:18" s="103" customFormat="1" ht="15.75" customHeight="1">
      <c r="A4" s="97">
        <v>2004</v>
      </c>
      <c r="B4" s="97">
        <v>2005</v>
      </c>
      <c r="C4" s="98"/>
      <c r="D4" s="99"/>
      <c r="E4" s="100"/>
      <c r="F4" s="101"/>
      <c r="G4" s="101"/>
      <c r="H4" s="101"/>
      <c r="I4" s="102" t="s">
        <v>36</v>
      </c>
      <c r="J4" s="102" t="s">
        <v>36</v>
      </c>
      <c r="M4" s="97" t="s">
        <v>34</v>
      </c>
      <c r="N4" s="100" t="s">
        <v>46</v>
      </c>
    </row>
    <row r="5" spans="1:18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20" t="s">
        <v>46</v>
      </c>
      <c r="H5" s="20" t="s">
        <v>46</v>
      </c>
      <c r="I5" s="11" t="s">
        <v>35</v>
      </c>
      <c r="J5" s="11" t="s">
        <v>35</v>
      </c>
      <c r="M5" s="10" t="s">
        <v>35</v>
      </c>
      <c r="N5" s="11" t="s">
        <v>36</v>
      </c>
      <c r="P5" s="40"/>
      <c r="Q5" s="91" t="s">
        <v>57</v>
      </c>
      <c r="R5" s="91" t="s">
        <v>59</v>
      </c>
    </row>
    <row r="6" spans="1:18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20" t="s">
        <v>47</v>
      </c>
      <c r="H6" s="20" t="s">
        <v>47</v>
      </c>
      <c r="I6" s="11" t="s">
        <v>14</v>
      </c>
      <c r="J6" s="11" t="s">
        <v>14</v>
      </c>
      <c r="M6" s="10" t="s">
        <v>14</v>
      </c>
      <c r="N6" s="11" t="s">
        <v>35</v>
      </c>
      <c r="O6" s="47" t="s">
        <v>100</v>
      </c>
      <c r="P6" s="40"/>
      <c r="Q6" s="92">
        <v>1973</v>
      </c>
      <c r="R6" s="92">
        <v>2016</v>
      </c>
    </row>
    <row r="7" spans="1:18" ht="15.75">
      <c r="A7" s="44">
        <v>2139972</v>
      </c>
      <c r="B7" s="44">
        <v>2300620</v>
      </c>
      <c r="C7" s="73">
        <f>(B7-A7)/A7</f>
        <v>7.5070141104649962E-2</v>
      </c>
      <c r="D7" s="26" t="s">
        <v>13</v>
      </c>
      <c r="E7" s="26" t="s">
        <v>2</v>
      </c>
      <c r="F7" s="10" t="s">
        <v>16</v>
      </c>
      <c r="G7" s="78" t="s">
        <v>79</v>
      </c>
      <c r="H7" s="78" t="s">
        <v>78</v>
      </c>
      <c r="I7" s="11" t="s">
        <v>32</v>
      </c>
      <c r="J7" s="11" t="s">
        <v>32</v>
      </c>
      <c r="K7" s="10" t="s">
        <v>15</v>
      </c>
      <c r="L7" s="10" t="s">
        <v>35</v>
      </c>
      <c r="M7" s="10" t="s">
        <v>32</v>
      </c>
      <c r="N7" s="11" t="s">
        <v>45</v>
      </c>
      <c r="O7" s="47" t="s">
        <v>101</v>
      </c>
      <c r="P7" s="40"/>
      <c r="Q7" s="93" t="s">
        <v>54</v>
      </c>
      <c r="R7" s="93" t="s">
        <v>56</v>
      </c>
    </row>
    <row r="8" spans="1:18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v>214</v>
      </c>
      <c r="H8" s="22">
        <v>234</v>
      </c>
      <c r="I8" s="14">
        <f>F8*$B$20</f>
        <v>235.81355000000002</v>
      </c>
      <c r="J8" s="14">
        <f>R8*$B$20</f>
        <v>226.99450666666667</v>
      </c>
      <c r="K8" s="94">
        <f>E8*H8*12</f>
        <v>14040</v>
      </c>
      <c r="L8" s="96">
        <f>H8/($K$16/12)</f>
        <v>1.2199254490003388E-3</v>
      </c>
      <c r="M8" s="29">
        <f t="shared" ref="M8:M15" si="0">F8*$B$25+$B$28</f>
        <v>242.40655000000001</v>
      </c>
      <c r="N8" s="46">
        <f t="shared" ref="N8:N15" si="1">E8*I8*12</f>
        <v>14148.813000000002</v>
      </c>
      <c r="O8" s="21">
        <f>12*G8/F8</f>
        <v>2087804.8780487806</v>
      </c>
      <c r="P8" s="40">
        <f>G8/$B$25</f>
        <v>1.183508309445023E-3</v>
      </c>
      <c r="Q8" s="90">
        <v>1.2340000000000001E-3</v>
      </c>
      <c r="R8" s="90">
        <v>1.1839999999999999E-3</v>
      </c>
    </row>
    <row r="9" spans="1:18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v>241</v>
      </c>
      <c r="H9" s="22">
        <v>261</v>
      </c>
      <c r="I9" s="14">
        <f t="shared" ref="I9:I15" si="2">F9*$B$20</f>
        <v>262.65411666666665</v>
      </c>
      <c r="J9" s="14">
        <f t="shared" ref="J9:J15" si="3">R9*$B$20</f>
        <v>256.71084833333333</v>
      </c>
      <c r="K9" s="94">
        <f t="shared" ref="K9:K15" si="4">E9*H9*12</f>
        <v>15660</v>
      </c>
      <c r="L9" s="96">
        <f t="shared" ref="L9:L15" si="5">H9/($K$16/12)</f>
        <v>1.3606860777311471E-3</v>
      </c>
      <c r="M9" s="29">
        <f t="shared" si="0"/>
        <v>267.72111666666666</v>
      </c>
      <c r="N9" s="46">
        <f t="shared" si="1"/>
        <v>15759.246999999999</v>
      </c>
      <c r="O9" s="21">
        <f t="shared" ref="O9:O15" si="6">12*G9/F9</f>
        <v>2110948.9051094893</v>
      </c>
      <c r="P9" s="40">
        <f t="shared" ref="P9:P15" si="7">G9/$B$25</f>
        <v>1.3328294512908905E-3</v>
      </c>
      <c r="Q9" s="90">
        <v>1.372E-3</v>
      </c>
      <c r="R9" s="90">
        <v>1.3389999999999999E-3</v>
      </c>
    </row>
    <row r="10" spans="1:18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v>268</v>
      </c>
      <c r="H10" s="22">
        <v>288</v>
      </c>
      <c r="I10" s="14">
        <f t="shared" si="2"/>
        <v>289.49468333333334</v>
      </c>
      <c r="J10" s="14">
        <f t="shared" si="3"/>
        <v>284.31828833333333</v>
      </c>
      <c r="K10" s="94">
        <f t="shared" si="4"/>
        <v>452736</v>
      </c>
      <c r="L10" s="96">
        <f t="shared" si="5"/>
        <v>1.5014467064619556E-3</v>
      </c>
      <c r="M10" s="29">
        <f t="shared" si="0"/>
        <v>293.03568333333334</v>
      </c>
      <c r="N10" s="46">
        <f t="shared" si="1"/>
        <v>455085.6422</v>
      </c>
      <c r="O10" s="21">
        <f t="shared" si="6"/>
        <v>2129801.324503311</v>
      </c>
      <c r="P10" s="40">
        <f t="shared" si="7"/>
        <v>1.4821505931367578E-3</v>
      </c>
      <c r="Q10" s="90">
        <v>1.5089999999999999E-3</v>
      </c>
      <c r="R10" s="90">
        <v>1.4829999999999999E-3</v>
      </c>
    </row>
    <row r="11" spans="1:18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v>323</v>
      </c>
      <c r="H11" s="22">
        <v>343</v>
      </c>
      <c r="I11" s="14">
        <f t="shared" si="2"/>
        <v>341.25863333333331</v>
      </c>
      <c r="J11" s="14">
        <f t="shared" si="3"/>
        <v>342.60066166666667</v>
      </c>
      <c r="K11" s="94">
        <f t="shared" si="4"/>
        <v>53508</v>
      </c>
      <c r="L11" s="96">
        <f t="shared" si="5"/>
        <v>1.7881813205432317E-3</v>
      </c>
      <c r="M11" s="29">
        <f t="shared" si="0"/>
        <v>341.85663333333332</v>
      </c>
      <c r="N11" s="46">
        <f t="shared" si="1"/>
        <v>53236.346799999999</v>
      </c>
      <c r="O11" s="21">
        <f t="shared" si="6"/>
        <v>2177528.0898876404</v>
      </c>
      <c r="P11" s="40">
        <f t="shared" si="7"/>
        <v>1.7863232894894507E-3</v>
      </c>
      <c r="Q11" s="90">
        <v>1.7830000000000001E-3</v>
      </c>
      <c r="R11" s="90">
        <v>1.787E-3</v>
      </c>
    </row>
    <row r="12" spans="1:18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v>335</v>
      </c>
      <c r="H12" s="22">
        <v>355</v>
      </c>
      <c r="I12" s="14">
        <f t="shared" si="2"/>
        <v>354.67891666666668</v>
      </c>
      <c r="J12" s="14">
        <f t="shared" si="3"/>
        <v>354.10376166666668</v>
      </c>
      <c r="K12" s="94">
        <f t="shared" si="4"/>
        <v>877560</v>
      </c>
      <c r="L12" s="96">
        <f t="shared" si="5"/>
        <v>1.8507415999791466E-3</v>
      </c>
      <c r="M12" s="29">
        <f t="shared" si="0"/>
        <v>354.51391666666672</v>
      </c>
      <c r="N12" s="46">
        <f t="shared" si="1"/>
        <v>876766.28200000012</v>
      </c>
      <c r="O12" s="21">
        <f t="shared" si="6"/>
        <v>2172972.9729729728</v>
      </c>
      <c r="P12" s="40">
        <f t="shared" si="7"/>
        <v>1.8526882414209472E-3</v>
      </c>
      <c r="Q12" s="90">
        <v>1.8519999999999999E-3</v>
      </c>
      <c r="R12" s="90">
        <v>1.8469999999999999E-3</v>
      </c>
    </row>
    <row r="13" spans="1:18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2.0219999999999999E-3</v>
      </c>
      <c r="G13" s="14">
        <v>369</v>
      </c>
      <c r="H13" s="22">
        <v>389</v>
      </c>
      <c r="I13" s="14">
        <f t="shared" si="2"/>
        <v>387.65447</v>
      </c>
      <c r="J13" s="14">
        <f t="shared" si="3"/>
        <v>390.14680833333335</v>
      </c>
      <c r="K13" s="94">
        <f t="shared" si="4"/>
        <v>51348</v>
      </c>
      <c r="L13" s="96">
        <f t="shared" si="5"/>
        <v>2.0279957250475718E-3</v>
      </c>
      <c r="M13" s="29">
        <f t="shared" si="0"/>
        <v>385.61466999999999</v>
      </c>
      <c r="N13" s="46">
        <f t="shared" si="1"/>
        <v>51170.390039999998</v>
      </c>
      <c r="O13" s="21">
        <f t="shared" si="6"/>
        <v>2189910.9792284868</v>
      </c>
      <c r="P13" s="40">
        <f t="shared" si="7"/>
        <v>2.0407222718935212E-3</v>
      </c>
      <c r="Q13" s="90">
        <v>2.0230000000000001E-3</v>
      </c>
      <c r="R13" s="90">
        <v>2.0349999999999999E-3</v>
      </c>
    </row>
    <row r="14" spans="1:18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v>376</v>
      </c>
      <c r="H14" s="22">
        <v>396</v>
      </c>
      <c r="I14" s="14">
        <f t="shared" si="2"/>
        <v>394.93976666666674</v>
      </c>
      <c r="J14" s="14">
        <f t="shared" si="3"/>
        <v>399.34928833333339</v>
      </c>
      <c r="K14" s="94">
        <f t="shared" si="4"/>
        <v>727056</v>
      </c>
      <c r="L14" s="96">
        <f t="shared" si="5"/>
        <v>2.0644892213851889E-3</v>
      </c>
      <c r="M14" s="29">
        <f t="shared" si="0"/>
        <v>392.48576666666673</v>
      </c>
      <c r="N14" s="46">
        <f t="shared" si="1"/>
        <v>725109.41160000023</v>
      </c>
      <c r="O14" s="21">
        <f t="shared" si="6"/>
        <v>2190291.262135922</v>
      </c>
      <c r="P14" s="40">
        <f t="shared" si="7"/>
        <v>2.0794351605202275E-3</v>
      </c>
      <c r="Q14" s="90">
        <v>2.0579999999999999E-3</v>
      </c>
      <c r="R14" s="90">
        <v>2.0830000000000002E-3</v>
      </c>
    </row>
    <row r="15" spans="1:18" ht="15.75">
      <c r="A15" s="44">
        <f>A7-A10</f>
        <v>2009172</v>
      </c>
      <c r="B15" s="44">
        <f>B7-B10</f>
        <v>2169820</v>
      </c>
      <c r="C15" s="73">
        <f>(B15-A15)/A15</f>
        <v>7.9957315749970628E-2</v>
      </c>
      <c r="D15" s="27" t="s">
        <v>24</v>
      </c>
      <c r="E15" s="14">
        <v>21</v>
      </c>
      <c r="F15" s="28">
        <v>2.2599999999999999E-3</v>
      </c>
      <c r="G15" s="14">
        <v>416</v>
      </c>
      <c r="H15" s="22">
        <v>436</v>
      </c>
      <c r="I15" s="14">
        <f t="shared" si="2"/>
        <v>433.28343333333333</v>
      </c>
      <c r="J15" s="14">
        <f t="shared" si="3"/>
        <v>439.99357500000008</v>
      </c>
      <c r="K15" s="94">
        <f t="shared" si="4"/>
        <v>109872</v>
      </c>
      <c r="L15" s="96">
        <f t="shared" si="5"/>
        <v>2.2730234861715716E-3</v>
      </c>
      <c r="M15" s="29">
        <f t="shared" si="0"/>
        <v>428.64943333333332</v>
      </c>
      <c r="N15" s="46">
        <f t="shared" si="1"/>
        <v>109187.4252</v>
      </c>
      <c r="O15" s="21">
        <f t="shared" si="6"/>
        <v>2208849.5575221241</v>
      </c>
      <c r="P15" s="40">
        <f t="shared" si="7"/>
        <v>2.3006516669585495E-3</v>
      </c>
      <c r="Q15" s="90">
        <v>2.264E-3</v>
      </c>
      <c r="R15" s="90">
        <v>2.2950000000000002E-3</v>
      </c>
    </row>
    <row r="16" spans="1:18" ht="15.75">
      <c r="A16" s="44"/>
      <c r="B16" s="44"/>
      <c r="C16" s="44"/>
      <c r="D16" s="79"/>
      <c r="E16" s="80"/>
      <c r="F16" s="12"/>
      <c r="G16" s="12"/>
      <c r="H16" s="12"/>
      <c r="I16" s="18"/>
      <c r="J16" s="18"/>
      <c r="K16" s="95">
        <f>SUM(K8:K15)</f>
        <v>2301780</v>
      </c>
      <c r="L16" s="36"/>
      <c r="M16" s="45"/>
      <c r="N16" s="39">
        <f>SUM(N8:N15)</f>
        <v>2300463.5578400004</v>
      </c>
      <c r="O16" s="21">
        <f>SUM(O8:O15)/8</f>
        <v>2158513.496176091</v>
      </c>
      <c r="P16" s="40"/>
    </row>
    <row r="17" spans="1:16" ht="15.75">
      <c r="A17" s="24" t="s">
        <v>31</v>
      </c>
      <c r="B17" s="24" t="s">
        <v>31</v>
      </c>
      <c r="C17" s="24"/>
      <c r="D17" s="13"/>
      <c r="E17" s="11"/>
      <c r="F17" s="12"/>
      <c r="G17" s="12"/>
      <c r="H17" s="12"/>
      <c r="I17" s="15"/>
      <c r="J17" s="15"/>
      <c r="K17" s="72">
        <f>B7</f>
        <v>2300620</v>
      </c>
      <c r="L17" s="11"/>
      <c r="M17" s="11"/>
      <c r="N17" s="72">
        <f>B7</f>
        <v>2300620</v>
      </c>
      <c r="P17" s="40"/>
    </row>
    <row r="18" spans="1:16" ht="15.75">
      <c r="A18" s="24" t="s">
        <v>64</v>
      </c>
      <c r="B18" s="24" t="s">
        <v>64</v>
      </c>
      <c r="C18" s="24"/>
      <c r="D18" s="13"/>
      <c r="E18" s="16"/>
      <c r="F18" s="12"/>
      <c r="G18" s="12"/>
      <c r="H18" s="12"/>
      <c r="I18" s="18"/>
      <c r="J18" s="18"/>
      <c r="K18" s="39">
        <f>K16-K17</f>
        <v>1160</v>
      </c>
      <c r="L18" s="18"/>
      <c r="M18" s="18"/>
      <c r="N18" s="39">
        <f>N16-N17</f>
        <v>-156.44215999962762</v>
      </c>
      <c r="P18" s="40"/>
    </row>
    <row r="19" spans="1:16" ht="15.75">
      <c r="A19" s="24" t="s">
        <v>61</v>
      </c>
      <c r="B19" s="24" t="s">
        <v>61</v>
      </c>
      <c r="C19" s="24"/>
      <c r="D19" s="24"/>
    </row>
    <row r="20" spans="1:16" ht="15.75">
      <c r="A20" s="44">
        <f>A7/12</f>
        <v>178331</v>
      </c>
      <c r="B20" s="44">
        <f>B7/12</f>
        <v>191718.33333333334</v>
      </c>
      <c r="C20" s="73">
        <f>(B20-A20)/A20</f>
        <v>7.5070141104650018E-2</v>
      </c>
      <c r="D20" s="73"/>
    </row>
    <row r="21" spans="1:16" ht="15.75">
      <c r="A21" s="44"/>
      <c r="B21" s="44"/>
      <c r="C21" s="44"/>
      <c r="D21" s="44"/>
    </row>
    <row r="22" spans="1:16" ht="15.75">
      <c r="A22" s="24" t="s">
        <v>31</v>
      </c>
      <c r="B22" s="24" t="s">
        <v>31</v>
      </c>
      <c r="C22" s="24"/>
      <c r="D22" s="24"/>
    </row>
    <row r="23" spans="1:16" ht="15.75">
      <c r="A23" s="24" t="s">
        <v>65</v>
      </c>
      <c r="B23" s="24" t="s">
        <v>65</v>
      </c>
      <c r="C23" s="24"/>
      <c r="D23" s="24"/>
    </row>
    <row r="24" spans="1:16" ht="15.75">
      <c r="A24" s="24" t="s">
        <v>61</v>
      </c>
      <c r="B24" s="24" t="s">
        <v>61</v>
      </c>
      <c r="C24" s="24"/>
      <c r="D24" s="24"/>
    </row>
    <row r="25" spans="1:16" ht="15.75">
      <c r="A25" s="44">
        <f>A15/12</f>
        <v>167431</v>
      </c>
      <c r="B25" s="44">
        <f>B15/12</f>
        <v>180818.33333333334</v>
      </c>
      <c r="C25" s="73">
        <f>(B25-A25)/A25</f>
        <v>7.9957315749970698E-2</v>
      </c>
      <c r="D25" s="73"/>
    </row>
    <row r="26" spans="1:16" ht="15.75">
      <c r="A26" s="20"/>
      <c r="B26" s="20"/>
      <c r="C26" s="20"/>
      <c r="D26" s="20"/>
    </row>
    <row r="27" spans="1:16" ht="15.75">
      <c r="A27" s="24" t="s">
        <v>61</v>
      </c>
      <c r="B27" s="24" t="s">
        <v>61</v>
      </c>
      <c r="C27" s="24"/>
      <c r="D27" s="24"/>
    </row>
    <row r="28" spans="1:16" ht="15.75">
      <c r="A28" s="20">
        <v>20</v>
      </c>
      <c r="B28" s="20">
        <v>20</v>
      </c>
      <c r="C28" s="20"/>
      <c r="D28" s="20"/>
    </row>
    <row r="38" spans="5:5" ht="15.75">
      <c r="E38" s="19">
        <v>2169820</v>
      </c>
    </row>
    <row r="39" spans="5:5" ht="15.75">
      <c r="E39" s="19">
        <v>2300620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8"/>
  <sheetViews>
    <sheetView showGridLines="0" topLeftCell="A19" workbookViewId="0">
      <selection activeCell="D4" sqref="D4:K18"/>
    </sheetView>
  </sheetViews>
  <sheetFormatPr defaultRowHeight="15"/>
  <cols>
    <col min="1" max="2" width="12.140625" bestFit="1" customWidth="1"/>
    <col min="3" max="3" width="8.42578125" customWidth="1"/>
    <col min="4" max="4" width="10.42578125" bestFit="1" customWidth="1"/>
    <col min="5" max="5" width="6" bestFit="1" customWidth="1"/>
    <col min="6" max="6" width="11.140625" customWidth="1"/>
    <col min="7" max="7" width="4.5703125" customWidth="1"/>
    <col min="8" max="8" width="8.42578125" customWidth="1"/>
    <col min="9" max="9" width="10.140625" bestFit="1" customWidth="1"/>
    <col min="10" max="10" width="9.5703125" customWidth="1"/>
    <col min="11" max="11" width="4.42578125" bestFit="1" customWidth="1"/>
    <col min="12" max="12" width="6.85546875" bestFit="1" customWidth="1"/>
    <col min="13" max="13" width="6" customWidth="1"/>
    <col min="14" max="15" width="11.85546875" bestFit="1" customWidth="1"/>
    <col min="16" max="16" width="10.140625" bestFit="1" customWidth="1"/>
    <col min="17" max="17" width="8.42578125" customWidth="1"/>
    <col min="18" max="18" width="8.5703125" customWidth="1"/>
    <col min="19" max="19" width="4.42578125" customWidth="1"/>
    <col min="20" max="20" width="3.28515625" customWidth="1"/>
    <col min="21" max="21" width="4.42578125" customWidth="1"/>
    <col min="22" max="22" width="5.5703125" customWidth="1"/>
    <col min="23" max="23" width="11.7109375" bestFit="1" customWidth="1"/>
    <col min="24" max="24" width="2.140625" customWidth="1"/>
    <col min="25" max="25" width="13.7109375" customWidth="1"/>
    <col min="26" max="26" width="3.28515625" customWidth="1"/>
    <col min="27" max="27" width="4.42578125" customWidth="1"/>
    <col min="28" max="28" width="5.5703125" customWidth="1"/>
    <col min="30" max="30" width="11.7109375" bestFit="1" customWidth="1"/>
    <col min="33" max="33" width="13.7109375" bestFit="1" customWidth="1"/>
  </cols>
  <sheetData>
    <row r="1" spans="1:23" ht="21">
      <c r="A1" s="104" t="s">
        <v>104</v>
      </c>
    </row>
    <row r="4" spans="1:23" ht="15.75" customHeight="1">
      <c r="A4" s="97">
        <v>2005</v>
      </c>
      <c r="B4" s="97">
        <v>2006</v>
      </c>
      <c r="C4" s="98"/>
      <c r="D4" s="13"/>
      <c r="E4" s="11"/>
      <c r="F4" s="12"/>
      <c r="G4" s="10" t="s">
        <v>36</v>
      </c>
      <c r="H4" s="11" t="s">
        <v>46</v>
      </c>
      <c r="K4" s="10" t="s">
        <v>36</v>
      </c>
      <c r="L4" s="24"/>
    </row>
    <row r="5" spans="1:23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K5" s="11" t="s">
        <v>35</v>
      </c>
      <c r="L5" s="10"/>
    </row>
    <row r="6" spans="1:23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K6" s="11" t="s">
        <v>14</v>
      </c>
      <c r="L6" s="10"/>
      <c r="M6" s="10"/>
      <c r="N6" s="13"/>
      <c r="O6" s="10"/>
      <c r="P6" s="10"/>
      <c r="Q6" s="10"/>
      <c r="R6" s="10"/>
      <c r="S6" s="10"/>
      <c r="T6" s="10"/>
      <c r="U6" s="17"/>
      <c r="V6" s="17"/>
    </row>
    <row r="7" spans="1:23" ht="15.75">
      <c r="A7" s="44">
        <v>2300620</v>
      </c>
      <c r="B7" s="44">
        <v>2638539</v>
      </c>
      <c r="C7" s="73">
        <f>(B7-A7)/A7</f>
        <v>0.14688171014769932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2006</v>
      </c>
      <c r="I7" s="10" t="s">
        <v>15</v>
      </c>
      <c r="J7" s="10" t="s">
        <v>35</v>
      </c>
      <c r="K7" s="11" t="s">
        <v>32</v>
      </c>
      <c r="L7" s="10"/>
      <c r="M7" s="10"/>
      <c r="N7" s="10"/>
      <c r="O7" s="10"/>
      <c r="P7" s="10"/>
      <c r="Q7" s="10"/>
      <c r="R7" s="10"/>
      <c r="S7" s="10"/>
      <c r="T7" s="10"/>
      <c r="U7" s="11"/>
      <c r="V7" s="11"/>
    </row>
    <row r="8" spans="1:23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>F8*$B$20</f>
        <v>270.45024749999999</v>
      </c>
      <c r="H8" s="14">
        <v>267</v>
      </c>
      <c r="I8" s="36">
        <f>E8*H8*12</f>
        <v>16020</v>
      </c>
      <c r="J8" s="66">
        <f t="shared" ref="J8:J15" si="0">H8/($I$16/12)</f>
        <v>1.2133440580223856E-3</v>
      </c>
      <c r="K8" s="14">
        <f>J8*$B$20</f>
        <v>266.78796812586063</v>
      </c>
      <c r="L8" s="16"/>
      <c r="M8" s="86"/>
      <c r="N8" s="105"/>
      <c r="O8" s="18"/>
      <c r="P8" s="16"/>
      <c r="Q8" s="16"/>
      <c r="R8" s="86"/>
      <c r="S8" s="86"/>
      <c r="T8" s="86"/>
      <c r="U8" s="86"/>
      <c r="V8" s="11"/>
      <c r="W8" s="21"/>
    </row>
    <row r="9" spans="1:23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ref="G9:G15" si="1">F9*$B$20</f>
        <v>301.2332025</v>
      </c>
      <c r="H9" s="14">
        <v>299</v>
      </c>
      <c r="I9" s="36">
        <f t="shared" ref="I9:I15" si="2">E9*H9*12</f>
        <v>17940</v>
      </c>
      <c r="J9" s="66">
        <f t="shared" si="0"/>
        <v>1.3587635705943567E-3</v>
      </c>
      <c r="K9" s="14">
        <f t="shared" ref="K9:K15" si="3">J9*$B$20</f>
        <v>298.7625560660386</v>
      </c>
      <c r="L9" s="16"/>
      <c r="M9" s="86"/>
      <c r="N9" s="105"/>
      <c r="O9" s="18"/>
      <c r="P9" s="16"/>
      <c r="Q9" s="16"/>
      <c r="R9" s="86"/>
      <c r="S9" s="86"/>
      <c r="T9" s="86"/>
      <c r="U9" s="86"/>
      <c r="V9" s="11"/>
      <c r="W9" s="21"/>
    </row>
    <row r="10" spans="1:23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1"/>
        <v>332.01615750000002</v>
      </c>
      <c r="H10" s="14">
        <v>330</v>
      </c>
      <c r="I10" s="36">
        <f t="shared" si="2"/>
        <v>518760</v>
      </c>
      <c r="J10" s="66">
        <f t="shared" si="0"/>
        <v>1.499638723398454E-3</v>
      </c>
      <c r="K10" s="14">
        <f t="shared" si="3"/>
        <v>329.73793813308612</v>
      </c>
      <c r="L10" s="16"/>
      <c r="M10" s="86"/>
      <c r="N10" s="105"/>
      <c r="O10" s="18"/>
      <c r="P10" s="16"/>
      <c r="Q10" s="16"/>
      <c r="R10" s="86"/>
      <c r="S10" s="86"/>
      <c r="T10" s="86"/>
      <c r="U10" s="86"/>
      <c r="V10" s="11"/>
      <c r="W10" s="21"/>
    </row>
    <row r="11" spans="1:23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1"/>
        <v>391.383285</v>
      </c>
      <c r="H11" s="14">
        <v>393</v>
      </c>
      <c r="I11" s="36">
        <f t="shared" si="2"/>
        <v>61308</v>
      </c>
      <c r="J11" s="66">
        <f t="shared" si="0"/>
        <v>1.7859333887745225E-3</v>
      </c>
      <c r="K11" s="14">
        <f t="shared" si="3"/>
        <v>392.68790814031166</v>
      </c>
      <c r="L11" s="16"/>
      <c r="M11" s="86"/>
      <c r="N11" s="105"/>
      <c r="O11" s="18"/>
      <c r="P11" s="16"/>
      <c r="Q11" s="16"/>
      <c r="R11" s="86"/>
      <c r="S11" s="86"/>
      <c r="T11" s="86"/>
      <c r="U11" s="86"/>
      <c r="V11" s="11"/>
      <c r="W11" s="21"/>
    </row>
    <row r="12" spans="1:23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1"/>
        <v>406.77476250000001</v>
      </c>
      <c r="H12" s="14">
        <v>407</v>
      </c>
      <c r="I12" s="36">
        <f t="shared" si="2"/>
        <v>1006104</v>
      </c>
      <c r="J12" s="66">
        <f t="shared" si="0"/>
        <v>1.84955442552476E-3</v>
      </c>
      <c r="K12" s="14">
        <f t="shared" si="3"/>
        <v>406.67679036413955</v>
      </c>
      <c r="L12" s="16"/>
      <c r="M12" s="86"/>
      <c r="N12" s="105"/>
      <c r="O12" s="18"/>
      <c r="P12" s="16"/>
      <c r="Q12" s="16"/>
      <c r="R12" s="86"/>
      <c r="S12" s="86"/>
      <c r="T12" s="86"/>
      <c r="U12" s="86"/>
      <c r="V12" s="11"/>
      <c r="W12" s="21"/>
    </row>
    <row r="13" spans="1:23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1"/>
        <v>444.154065</v>
      </c>
      <c r="H13" s="14">
        <v>446</v>
      </c>
      <c r="I13" s="36">
        <f t="shared" si="2"/>
        <v>58872</v>
      </c>
      <c r="J13" s="66">
        <f t="shared" si="0"/>
        <v>2.0267844564718501E-3</v>
      </c>
      <c r="K13" s="14">
        <f t="shared" si="3"/>
        <v>445.64581941623157</v>
      </c>
      <c r="L13" s="16"/>
      <c r="M13" s="86"/>
      <c r="N13" s="105"/>
      <c r="O13" s="18"/>
      <c r="P13" s="16"/>
      <c r="Q13" s="16"/>
      <c r="R13" s="86"/>
      <c r="S13" s="86"/>
      <c r="T13" s="86"/>
      <c r="U13" s="86"/>
      <c r="V13" s="11"/>
      <c r="W13" s="21"/>
    </row>
    <row r="14" spans="1:23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1"/>
        <v>452.94919500000003</v>
      </c>
      <c r="H14" s="14">
        <v>455</v>
      </c>
      <c r="I14" s="36">
        <f t="shared" si="2"/>
        <v>835380</v>
      </c>
      <c r="J14" s="66">
        <f t="shared" si="0"/>
        <v>2.067683694382717E-3</v>
      </c>
      <c r="K14" s="14">
        <f t="shared" si="3"/>
        <v>454.63867227440664</v>
      </c>
      <c r="L14" s="16"/>
      <c r="M14" s="86"/>
      <c r="N14" s="105"/>
      <c r="O14" s="18"/>
      <c r="P14" s="16"/>
      <c r="Q14" s="16"/>
      <c r="R14" s="86"/>
      <c r="S14" s="86"/>
      <c r="T14" s="86"/>
      <c r="U14" s="86"/>
      <c r="V14" s="11"/>
      <c r="W14" s="21"/>
    </row>
    <row r="15" spans="1:23" ht="15.75">
      <c r="A15" s="44">
        <f>A7-A10</f>
        <v>2169820</v>
      </c>
      <c r="B15" s="44">
        <f>B7-B10</f>
        <v>2507739</v>
      </c>
      <c r="C15" s="73">
        <f>(B15-A15)/A15</f>
        <v>0.15573595966485698</v>
      </c>
      <c r="D15" s="27" t="s">
        <v>24</v>
      </c>
      <c r="E15" s="14">
        <v>21</v>
      </c>
      <c r="F15" s="28">
        <v>2.2599999999999999E-3</v>
      </c>
      <c r="G15" s="14">
        <f t="shared" si="1"/>
        <v>496.92484499999995</v>
      </c>
      <c r="H15" s="14">
        <v>501</v>
      </c>
      <c r="I15" s="67">
        <f t="shared" si="2"/>
        <v>126252</v>
      </c>
      <c r="J15" s="66">
        <f t="shared" si="0"/>
        <v>2.2767242437049255E-3</v>
      </c>
      <c r="K15" s="14">
        <f t="shared" si="3"/>
        <v>500.60214243841256</v>
      </c>
      <c r="L15" s="16"/>
      <c r="M15" s="86"/>
      <c r="N15" s="105"/>
      <c r="O15" s="18"/>
      <c r="P15" s="16"/>
      <c r="Q15" s="16"/>
      <c r="R15" s="86"/>
      <c r="S15" s="86"/>
      <c r="T15" s="86"/>
      <c r="U15" s="86"/>
      <c r="V15" s="11"/>
      <c r="W15" s="21"/>
    </row>
    <row r="16" spans="1:23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2640636</v>
      </c>
      <c r="J16" s="36"/>
      <c r="K16" s="45"/>
      <c r="L16" s="17"/>
      <c r="M16" s="16"/>
      <c r="N16" s="12"/>
      <c r="O16" s="18"/>
      <c r="P16" s="18"/>
      <c r="Q16" s="18"/>
      <c r="R16" s="18"/>
      <c r="S16" s="18"/>
      <c r="T16" s="18"/>
      <c r="U16" s="16"/>
      <c r="V16" s="19"/>
    </row>
    <row r="17" spans="1:22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2638539</v>
      </c>
      <c r="J17" s="11"/>
      <c r="K17" s="11"/>
      <c r="M17" s="16"/>
      <c r="N17" s="12"/>
      <c r="O17" s="18"/>
      <c r="P17" s="18"/>
      <c r="Q17" s="18"/>
      <c r="R17" s="18"/>
      <c r="S17" s="18"/>
      <c r="T17" s="18"/>
      <c r="U17" s="16"/>
      <c r="V17" s="19"/>
    </row>
    <row r="18" spans="1:22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2097</v>
      </c>
      <c r="J18" s="18"/>
      <c r="K18" s="18"/>
    </row>
    <row r="19" spans="1:22" ht="15.75">
      <c r="A19" s="24" t="s">
        <v>61</v>
      </c>
      <c r="B19" s="24" t="s">
        <v>61</v>
      </c>
      <c r="C19" s="24"/>
    </row>
    <row r="20" spans="1:22" ht="15.75">
      <c r="A20" s="44">
        <f>A7/12</f>
        <v>191718.33333333334</v>
      </c>
      <c r="B20" s="44">
        <f>B7/12</f>
        <v>219878.25</v>
      </c>
      <c r="C20" s="73">
        <f>(B20-A20)/A20</f>
        <v>0.14688171014769927</v>
      </c>
    </row>
    <row r="21" spans="1:22" ht="15.75">
      <c r="A21" s="44"/>
      <c r="B21" s="44"/>
      <c r="C21" s="44"/>
    </row>
    <row r="22" spans="1:22" ht="15.75">
      <c r="A22" s="24" t="s">
        <v>31</v>
      </c>
      <c r="B22" s="24" t="s">
        <v>31</v>
      </c>
      <c r="C22" s="24"/>
    </row>
    <row r="23" spans="1:22" ht="15.75">
      <c r="A23" s="24" t="s">
        <v>65</v>
      </c>
      <c r="B23" s="24" t="s">
        <v>65</v>
      </c>
      <c r="C23" s="24"/>
    </row>
    <row r="24" spans="1:22" ht="15.75">
      <c r="A24" s="24" t="s">
        <v>61</v>
      </c>
      <c r="B24" s="24" t="s">
        <v>61</v>
      </c>
      <c r="C24" s="24"/>
    </row>
    <row r="25" spans="1:22" ht="15.75">
      <c r="A25" s="44">
        <f>A15/12</f>
        <v>180818.33333333334</v>
      </c>
      <c r="B25" s="44">
        <f>B15/12</f>
        <v>208978.25</v>
      </c>
      <c r="C25" s="73">
        <f>(B25-A25)/A25</f>
        <v>0.15573595966485693</v>
      </c>
    </row>
    <row r="26" spans="1:22" ht="15.75">
      <c r="A26" s="20"/>
      <c r="B26" s="20"/>
      <c r="C26" s="20"/>
    </row>
    <row r="27" spans="1:22" ht="15.75">
      <c r="A27" s="24" t="s">
        <v>61</v>
      </c>
      <c r="B27" s="24" t="s">
        <v>61</v>
      </c>
      <c r="C27" s="24"/>
    </row>
    <row r="28" spans="1:22" ht="15.75">
      <c r="A28" s="20">
        <v>20</v>
      </c>
      <c r="B28" s="20">
        <v>20</v>
      </c>
      <c r="C28" s="20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8"/>
  <sheetViews>
    <sheetView showGridLines="0" topLeftCell="A22" workbookViewId="0">
      <selection activeCell="A2" sqref="A2"/>
    </sheetView>
  </sheetViews>
  <sheetFormatPr defaultRowHeight="15"/>
  <cols>
    <col min="1" max="1" width="15.42578125" customWidth="1"/>
    <col min="2" max="2" width="12.140625" bestFit="1" customWidth="1"/>
    <col min="3" max="3" width="8.42578125" customWidth="1"/>
    <col min="4" max="4" width="10.42578125" bestFit="1" customWidth="1"/>
    <col min="5" max="5" width="6" bestFit="1" customWidth="1"/>
    <col min="6" max="6" width="11.140625" customWidth="1"/>
    <col min="7" max="7" width="4.5703125" customWidth="1"/>
    <col min="8" max="8" width="8.42578125" customWidth="1"/>
    <col min="9" max="9" width="10.140625" bestFit="1" customWidth="1"/>
    <col min="10" max="10" width="9.5703125" bestFit="1" customWidth="1"/>
    <col min="11" max="11" width="4.42578125" bestFit="1" customWidth="1"/>
    <col min="12" max="12" width="11.42578125" customWidth="1"/>
    <col min="13" max="13" width="10.28515625" customWidth="1"/>
    <col min="14" max="14" width="8.42578125" customWidth="1"/>
    <col min="15" max="15" width="6.5703125" style="3" customWidth="1"/>
    <col min="16" max="16" width="5.28515625" customWidth="1"/>
    <col min="17" max="17" width="7.5703125" style="3" customWidth="1"/>
    <col min="18" max="18" width="5.85546875" customWidth="1"/>
  </cols>
  <sheetData>
    <row r="1" spans="1:18" ht="21">
      <c r="A1" s="104" t="s">
        <v>107</v>
      </c>
    </row>
    <row r="4" spans="1:18" ht="26.25">
      <c r="A4" s="97">
        <v>2006</v>
      </c>
      <c r="B4" s="97">
        <v>2007</v>
      </c>
      <c r="C4" s="98"/>
      <c r="D4" s="13"/>
      <c r="E4" s="11"/>
      <c r="F4" s="12"/>
      <c r="G4" s="10" t="s">
        <v>36</v>
      </c>
      <c r="H4" s="11" t="s">
        <v>46</v>
      </c>
      <c r="K4" s="97" t="s">
        <v>34</v>
      </c>
      <c r="N4" s="97"/>
    </row>
    <row r="5" spans="1:18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K5" s="10" t="s">
        <v>35</v>
      </c>
      <c r="N5" s="10" t="s">
        <v>46</v>
      </c>
      <c r="O5" s="106" t="s">
        <v>46</v>
      </c>
      <c r="Q5" s="20" t="s">
        <v>46</v>
      </c>
      <c r="R5" s="17"/>
    </row>
    <row r="6" spans="1:18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I6" s="24" t="s">
        <v>36</v>
      </c>
      <c r="J6" s="24" t="s">
        <v>36</v>
      </c>
      <c r="K6" s="10" t="s">
        <v>14</v>
      </c>
      <c r="L6" s="24" t="s">
        <v>105</v>
      </c>
      <c r="M6" s="24" t="s">
        <v>105</v>
      </c>
      <c r="N6" s="10">
        <v>2006</v>
      </c>
      <c r="O6" s="24">
        <v>2007</v>
      </c>
      <c r="P6" s="24"/>
      <c r="Q6" s="20">
        <v>2006</v>
      </c>
      <c r="R6" s="17"/>
    </row>
    <row r="7" spans="1:18" ht="15.75">
      <c r="A7" s="44">
        <v>2638539</v>
      </c>
      <c r="B7" s="44">
        <v>2714996</v>
      </c>
      <c r="C7" s="73">
        <f>(B7-A7)/A7</f>
        <v>2.8977020995331129E-2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2007</v>
      </c>
      <c r="I7" s="10" t="s">
        <v>15</v>
      </c>
      <c r="J7" s="10" t="s">
        <v>35</v>
      </c>
      <c r="K7" s="10" t="s">
        <v>32</v>
      </c>
      <c r="L7" s="10" t="s">
        <v>15</v>
      </c>
      <c r="M7" s="10" t="s">
        <v>35</v>
      </c>
      <c r="N7" s="10" t="s">
        <v>47</v>
      </c>
      <c r="O7" s="10" t="s">
        <v>47</v>
      </c>
      <c r="P7" s="10" t="s">
        <v>35</v>
      </c>
      <c r="Q7" s="10" t="s">
        <v>47</v>
      </c>
      <c r="R7" s="20" t="s">
        <v>35</v>
      </c>
    </row>
    <row r="8" spans="1:18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>F8*$B$20</f>
        <v>278.28708999999998</v>
      </c>
      <c r="H8" s="14">
        <v>275</v>
      </c>
      <c r="I8" s="36">
        <f>E8*H8*12</f>
        <v>16500</v>
      </c>
      <c r="J8" s="66">
        <f t="shared" ref="J8:J15" si="0">H8/($I$16/12)</f>
        <v>1.2147769890316681E-3</v>
      </c>
      <c r="K8" s="29">
        <f t="shared" ref="K8:K15" si="1">F8*$B$25+$B$28</f>
        <v>284.88009</v>
      </c>
      <c r="L8" s="36">
        <f>E8*K8*12</f>
        <v>17092.805400000001</v>
      </c>
      <c r="M8" s="66">
        <f t="shared" ref="M8:M15" si="2">K8/($I$16/12)</f>
        <v>1.2584210107828022E-3</v>
      </c>
      <c r="N8" s="16">
        <v>247</v>
      </c>
      <c r="O8" s="44">
        <v>255</v>
      </c>
      <c r="P8" s="108">
        <f>(O8-N8)/N8</f>
        <v>3.2388663967611336E-2</v>
      </c>
      <c r="Q8" s="20">
        <v>267</v>
      </c>
      <c r="R8" s="108">
        <f>(H8-Q8)/Q8</f>
        <v>2.9962546816479401E-2</v>
      </c>
    </row>
    <row r="9" spans="1:18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ref="G9:G15" si="3">F9*$B$20</f>
        <v>309.96204333333333</v>
      </c>
      <c r="H9" s="14">
        <v>308</v>
      </c>
      <c r="I9" s="36">
        <f t="shared" ref="I9:I15" si="4">E9*H9*12</f>
        <v>18480</v>
      </c>
      <c r="J9" s="66">
        <f t="shared" si="0"/>
        <v>1.3605502277154683E-3</v>
      </c>
      <c r="K9" s="29">
        <f t="shared" si="1"/>
        <v>315.02904333333328</v>
      </c>
      <c r="L9" s="36">
        <f t="shared" ref="L9:L15" si="5">E9*K9*12</f>
        <v>18901.742599999998</v>
      </c>
      <c r="M9" s="66">
        <f t="shared" si="2"/>
        <v>1.3916001189745219E-3</v>
      </c>
      <c r="N9" s="16">
        <v>279</v>
      </c>
      <c r="O9" s="44">
        <v>288</v>
      </c>
      <c r="P9" s="108">
        <f t="shared" ref="P9:P15" si="6">(O9-N9)/N9</f>
        <v>3.2258064516129031E-2</v>
      </c>
      <c r="Q9" s="20">
        <v>299</v>
      </c>
      <c r="R9" s="108">
        <f t="shared" ref="R9:R15" si="7">(H9-Q9)/Q9</f>
        <v>3.0100334448160536E-2</v>
      </c>
    </row>
    <row r="10" spans="1:18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3"/>
        <v>341.63699666666668</v>
      </c>
      <c r="H10" s="14">
        <v>339</v>
      </c>
      <c r="I10" s="36">
        <f t="shared" si="4"/>
        <v>532908</v>
      </c>
      <c r="J10" s="66">
        <f t="shared" si="0"/>
        <v>1.4974887246608564E-3</v>
      </c>
      <c r="K10" s="29">
        <f t="shared" si="1"/>
        <v>345.17799666666667</v>
      </c>
      <c r="L10" s="36">
        <f t="shared" si="5"/>
        <v>542619.81076000002</v>
      </c>
      <c r="M10" s="66">
        <f t="shared" si="2"/>
        <v>1.524779227166242E-3</v>
      </c>
      <c r="N10" s="16">
        <v>310</v>
      </c>
      <c r="O10" s="44">
        <v>319</v>
      </c>
      <c r="P10" s="108">
        <f t="shared" si="6"/>
        <v>2.903225806451613E-2</v>
      </c>
      <c r="Q10" s="20">
        <v>330</v>
      </c>
      <c r="R10" s="108">
        <f t="shared" si="7"/>
        <v>2.7272727272727271E-2</v>
      </c>
    </row>
    <row r="11" spans="1:18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3"/>
        <v>402.72440666666665</v>
      </c>
      <c r="H11" s="14">
        <v>404</v>
      </c>
      <c r="I11" s="36">
        <f t="shared" si="4"/>
        <v>63024</v>
      </c>
      <c r="J11" s="66">
        <f t="shared" si="0"/>
        <v>1.7846178311592506E-3</v>
      </c>
      <c r="K11" s="29">
        <f t="shared" si="1"/>
        <v>403.32240666666661</v>
      </c>
      <c r="L11" s="36">
        <f t="shared" si="5"/>
        <v>62918.295439999994</v>
      </c>
      <c r="M11" s="66">
        <f t="shared" si="2"/>
        <v>1.7816246501074155E-3</v>
      </c>
      <c r="N11" s="16">
        <v>373</v>
      </c>
      <c r="O11" s="44">
        <v>384</v>
      </c>
      <c r="P11" s="108">
        <f t="shared" si="6"/>
        <v>2.9490616621983913E-2</v>
      </c>
      <c r="Q11" s="20">
        <v>393</v>
      </c>
      <c r="R11" s="108">
        <f t="shared" si="7"/>
        <v>2.7989821882951654E-2</v>
      </c>
    </row>
    <row r="12" spans="1:18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3"/>
        <v>418.56188333333336</v>
      </c>
      <c r="H12" s="14">
        <v>419</v>
      </c>
      <c r="I12" s="36">
        <f t="shared" si="4"/>
        <v>1035768</v>
      </c>
      <c r="J12" s="66">
        <f t="shared" si="0"/>
        <v>1.8508783941973417E-3</v>
      </c>
      <c r="K12" s="29">
        <f t="shared" si="1"/>
        <v>418.39688333333334</v>
      </c>
      <c r="L12" s="36">
        <f t="shared" si="5"/>
        <v>1034277.0956000001</v>
      </c>
      <c r="M12" s="66">
        <f t="shared" si="2"/>
        <v>1.8482142042032755E-3</v>
      </c>
      <c r="N12" s="16">
        <v>387</v>
      </c>
      <c r="O12" s="44">
        <v>399</v>
      </c>
      <c r="P12" s="108">
        <f t="shared" si="6"/>
        <v>3.1007751937984496E-2</v>
      </c>
      <c r="Q12" s="20">
        <v>407</v>
      </c>
      <c r="R12" s="108">
        <f t="shared" si="7"/>
        <v>2.9484029484029485E-2</v>
      </c>
    </row>
    <row r="13" spans="1:18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3"/>
        <v>457.0243266666667</v>
      </c>
      <c r="H13" s="14">
        <v>459</v>
      </c>
      <c r="I13" s="36">
        <f t="shared" si="4"/>
        <v>60588</v>
      </c>
      <c r="J13" s="66">
        <f t="shared" si="0"/>
        <v>2.0275732289655843E-3</v>
      </c>
      <c r="K13" s="29">
        <f t="shared" si="1"/>
        <v>455.00632666666667</v>
      </c>
      <c r="L13" s="36">
        <f t="shared" si="5"/>
        <v>60060.835120000003</v>
      </c>
      <c r="M13" s="66">
        <f t="shared" si="2"/>
        <v>2.0099316927217926E-3</v>
      </c>
      <c r="N13" s="16">
        <v>426</v>
      </c>
      <c r="O13" s="44">
        <v>439</v>
      </c>
      <c r="P13" s="108">
        <f t="shared" si="6"/>
        <v>3.0516431924882629E-2</v>
      </c>
      <c r="Q13" s="20">
        <v>446</v>
      </c>
      <c r="R13" s="108">
        <f t="shared" si="7"/>
        <v>2.914798206278027E-2</v>
      </c>
    </row>
    <row r="14" spans="1:18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3"/>
        <v>466.07431333333335</v>
      </c>
      <c r="H14" s="14">
        <v>468</v>
      </c>
      <c r="I14" s="36">
        <f t="shared" si="4"/>
        <v>859248</v>
      </c>
      <c r="J14" s="66">
        <f t="shared" si="0"/>
        <v>2.0673295667884388E-3</v>
      </c>
      <c r="K14" s="29">
        <f t="shared" si="1"/>
        <v>463.62031333333334</v>
      </c>
      <c r="L14" s="36">
        <f t="shared" si="5"/>
        <v>851206.89528000006</v>
      </c>
      <c r="M14" s="66">
        <f t="shared" si="2"/>
        <v>2.0479828664908555E-3</v>
      </c>
      <c r="N14" s="16">
        <v>435</v>
      </c>
      <c r="O14" s="44">
        <v>448</v>
      </c>
      <c r="P14" s="108">
        <f t="shared" si="6"/>
        <v>2.9885057471264367E-2</v>
      </c>
      <c r="Q14" s="20">
        <v>455</v>
      </c>
      <c r="R14" s="108">
        <f t="shared" si="7"/>
        <v>2.8571428571428571E-2</v>
      </c>
    </row>
    <row r="15" spans="1:18" ht="15.75">
      <c r="A15" s="44">
        <f>A7-A10</f>
        <v>2507739</v>
      </c>
      <c r="B15" s="44">
        <f>B7-B10</f>
        <v>2584196</v>
      </c>
      <c r="C15" s="73">
        <f>(B15-A15)/A15</f>
        <v>3.0488420046902807E-2</v>
      </c>
      <c r="D15" s="27" t="s">
        <v>24</v>
      </c>
      <c r="E15" s="14">
        <v>21</v>
      </c>
      <c r="F15" s="28">
        <v>2.2599999999999999E-3</v>
      </c>
      <c r="G15" s="14">
        <f t="shared" si="3"/>
        <v>511.32424666666662</v>
      </c>
      <c r="H15" s="14">
        <v>516</v>
      </c>
      <c r="I15" s="67">
        <f t="shared" si="4"/>
        <v>130032</v>
      </c>
      <c r="J15" s="66">
        <f t="shared" si="0"/>
        <v>2.2793633685103299E-3</v>
      </c>
      <c r="K15" s="29">
        <f t="shared" si="1"/>
        <v>506.69024666666661</v>
      </c>
      <c r="L15" s="36">
        <f t="shared" si="5"/>
        <v>127685.94215999998</v>
      </c>
      <c r="M15" s="66">
        <f t="shared" si="2"/>
        <v>2.2382387353361692E-3</v>
      </c>
      <c r="N15" s="16">
        <v>481</v>
      </c>
      <c r="O15" s="44">
        <v>496</v>
      </c>
      <c r="P15" s="108">
        <f t="shared" si="6"/>
        <v>3.1185031185031187E-2</v>
      </c>
      <c r="Q15" s="20">
        <v>501</v>
      </c>
      <c r="R15" s="108">
        <f t="shared" si="7"/>
        <v>2.9940119760479042E-2</v>
      </c>
    </row>
    <row r="16" spans="1:18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2716548</v>
      </c>
      <c r="J16" s="36"/>
      <c r="L16" s="36">
        <f>SUM(L8:L15)</f>
        <v>2714763.4223600002</v>
      </c>
      <c r="O16" s="44"/>
    </row>
    <row r="17" spans="1:15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2714996</v>
      </c>
      <c r="J17" s="11"/>
      <c r="L17" s="72">
        <f>B7</f>
        <v>2714996</v>
      </c>
      <c r="O17" s="107"/>
    </row>
    <row r="18" spans="1:15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1552</v>
      </c>
      <c r="J18" s="18"/>
      <c r="L18" s="39">
        <f>L16-L17</f>
        <v>-232.57763999979943</v>
      </c>
      <c r="O18" s="16"/>
    </row>
    <row r="19" spans="1:15" ht="15.75">
      <c r="A19" s="24" t="s">
        <v>61</v>
      </c>
      <c r="B19" s="24" t="s">
        <v>61</v>
      </c>
      <c r="C19" s="24"/>
    </row>
    <row r="20" spans="1:15" ht="15.75">
      <c r="A20" s="44">
        <f>A7/12</f>
        <v>219878.25</v>
      </c>
      <c r="B20" s="44">
        <f>B7/12</f>
        <v>226249.66666666666</v>
      </c>
      <c r="C20" s="73">
        <f>(B20-A20)/A20</f>
        <v>2.8977020995331084E-2</v>
      </c>
    </row>
    <row r="21" spans="1:15" ht="15.75">
      <c r="A21" s="44"/>
      <c r="B21" s="44"/>
      <c r="C21" s="44"/>
    </row>
    <row r="22" spans="1:15" ht="15.75">
      <c r="A22" s="24" t="s">
        <v>31</v>
      </c>
      <c r="B22" s="24" t="s">
        <v>31</v>
      </c>
      <c r="C22" s="24"/>
    </row>
    <row r="23" spans="1:15" ht="15.75">
      <c r="A23" s="24" t="s">
        <v>65</v>
      </c>
      <c r="B23" s="24" t="s">
        <v>65</v>
      </c>
      <c r="C23" s="24"/>
    </row>
    <row r="24" spans="1:15" ht="15.75">
      <c r="A24" s="24" t="s">
        <v>61</v>
      </c>
      <c r="B24" s="24" t="s">
        <v>61</v>
      </c>
      <c r="C24" s="24"/>
    </row>
    <row r="25" spans="1:15" ht="15.75">
      <c r="A25" s="44">
        <f>A15/12</f>
        <v>208978.25</v>
      </c>
      <c r="B25" s="44">
        <f>B15/12</f>
        <v>215349.66666666666</v>
      </c>
      <c r="C25" s="73">
        <f>(B25-A25)/A25</f>
        <v>3.0488420046902762E-2</v>
      </c>
    </row>
    <row r="26" spans="1:15" ht="15.75">
      <c r="A26" s="20"/>
      <c r="B26" s="20"/>
      <c r="C26" s="20"/>
    </row>
    <row r="27" spans="1:15" ht="15.75">
      <c r="A27" s="24" t="s">
        <v>61</v>
      </c>
      <c r="B27" s="24" t="s">
        <v>61</v>
      </c>
      <c r="C27" s="24"/>
    </row>
    <row r="28" spans="1:15" ht="15.75">
      <c r="A28" s="20">
        <v>20</v>
      </c>
      <c r="B28" s="20">
        <v>20</v>
      </c>
      <c r="C28" s="20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28"/>
  <sheetViews>
    <sheetView showGridLines="0" topLeftCell="A22" workbookViewId="0">
      <selection activeCell="H8" sqref="H8:H15"/>
    </sheetView>
  </sheetViews>
  <sheetFormatPr defaultRowHeight="15"/>
  <cols>
    <col min="1" max="2" width="12.140625" bestFit="1" customWidth="1"/>
    <col min="3" max="3" width="8.42578125" customWidth="1"/>
    <col min="4" max="4" width="10.42578125" bestFit="1" customWidth="1"/>
    <col min="5" max="5" width="6" customWidth="1"/>
    <col min="6" max="6" width="11.140625" bestFit="1" customWidth="1"/>
    <col min="7" max="7" width="4.5703125" bestFit="1" customWidth="1"/>
    <col min="8" max="8" width="8.85546875" customWidth="1"/>
    <col min="9" max="9" width="10.140625" bestFit="1" customWidth="1"/>
    <col min="10" max="10" width="9.5703125" bestFit="1" customWidth="1"/>
    <col min="11" max="11" width="6.85546875" bestFit="1" customWidth="1"/>
    <col min="12" max="12" width="10.140625" bestFit="1" customWidth="1"/>
    <col min="13" max="13" width="9.5703125" bestFit="1" customWidth="1"/>
    <col min="14" max="15" width="7" bestFit="1" customWidth="1"/>
    <col min="16" max="16" width="5.5703125" bestFit="1" customWidth="1"/>
    <col min="17" max="17" width="7" bestFit="1" customWidth="1"/>
    <col min="18" max="18" width="6.7109375" customWidth="1"/>
    <col min="19" max="19" width="13.7109375" bestFit="1" customWidth="1"/>
  </cols>
  <sheetData>
    <row r="1" spans="1:22" ht="26.25">
      <c r="A1" s="104" t="s">
        <v>0</v>
      </c>
      <c r="K1" s="2"/>
    </row>
    <row r="2" spans="1:22">
      <c r="V2" t="s">
        <v>28</v>
      </c>
    </row>
    <row r="3" spans="1:22">
      <c r="V3" t="s">
        <v>29</v>
      </c>
    </row>
    <row r="4" spans="1:22" ht="15.75" customHeight="1">
      <c r="A4" s="97">
        <v>2007</v>
      </c>
      <c r="B4" s="97">
        <v>2008</v>
      </c>
      <c r="C4" s="98"/>
      <c r="D4" s="13"/>
      <c r="E4" s="11"/>
      <c r="F4" s="12"/>
      <c r="G4" s="10" t="s">
        <v>36</v>
      </c>
      <c r="H4" s="11" t="s">
        <v>46</v>
      </c>
      <c r="K4" s="97" t="s">
        <v>34</v>
      </c>
      <c r="N4" s="109" t="s">
        <v>106</v>
      </c>
      <c r="O4" s="109" t="s">
        <v>106</v>
      </c>
      <c r="P4" s="109" t="s">
        <v>106</v>
      </c>
      <c r="Q4" s="110" t="s">
        <v>109</v>
      </c>
      <c r="R4" s="109" t="s">
        <v>109</v>
      </c>
    </row>
    <row r="5" spans="1:22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K5" s="10" t="s">
        <v>35</v>
      </c>
      <c r="N5" s="10" t="s">
        <v>46</v>
      </c>
      <c r="O5" s="24" t="s">
        <v>46</v>
      </c>
      <c r="P5" s="58">
        <v>2007</v>
      </c>
      <c r="Q5" s="24" t="s">
        <v>46</v>
      </c>
      <c r="R5" s="58">
        <v>2007</v>
      </c>
    </row>
    <row r="6" spans="1:22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I6" s="24" t="s">
        <v>36</v>
      </c>
      <c r="J6" s="24" t="s">
        <v>36</v>
      </c>
      <c r="K6" s="10" t="s">
        <v>14</v>
      </c>
      <c r="L6" s="24" t="s">
        <v>105</v>
      </c>
      <c r="M6" s="24" t="s">
        <v>105</v>
      </c>
      <c r="N6" s="10">
        <v>2007</v>
      </c>
      <c r="O6" s="24">
        <v>2008</v>
      </c>
      <c r="P6" s="24" t="s">
        <v>108</v>
      </c>
      <c r="Q6" s="24">
        <v>2007</v>
      </c>
      <c r="R6" s="24" t="s">
        <v>108</v>
      </c>
    </row>
    <row r="7" spans="1:22" ht="15.75">
      <c r="A7" s="44">
        <v>2714996</v>
      </c>
      <c r="B7" s="44">
        <v>2770210</v>
      </c>
      <c r="C7" s="73">
        <f>(B7-A7)/A7</f>
        <v>2.0336678212417254E-2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2008</v>
      </c>
      <c r="I7" s="10" t="s">
        <v>15</v>
      </c>
      <c r="J7" s="10" t="s">
        <v>35</v>
      </c>
      <c r="K7" s="10" t="s">
        <v>32</v>
      </c>
      <c r="L7" s="10" t="s">
        <v>15</v>
      </c>
      <c r="M7" s="10" t="s">
        <v>35</v>
      </c>
      <c r="N7" s="10" t="s">
        <v>47</v>
      </c>
      <c r="O7" s="10" t="s">
        <v>47</v>
      </c>
      <c r="P7" s="10">
        <v>2008</v>
      </c>
      <c r="Q7" s="10" t="s">
        <v>47</v>
      </c>
      <c r="R7" s="10">
        <v>2008</v>
      </c>
    </row>
    <row r="8" spans="1:22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 t="shared" ref="G8:G15" si="0">F8*$B$20</f>
        <v>283.94652500000001</v>
      </c>
      <c r="H8" s="14">
        <v>280</v>
      </c>
      <c r="I8" s="36">
        <f>E8*H8*12</f>
        <v>16800</v>
      </c>
      <c r="J8" s="66">
        <f t="shared" ref="J8:J15" si="1">H8/($I$16/12)</f>
        <v>1.2139184420223881E-3</v>
      </c>
      <c r="K8" s="29">
        <f t="shared" ref="K8:K15" si="2">F8*$B$25+$B$28</f>
        <v>290.53952500000003</v>
      </c>
      <c r="L8" s="36">
        <f>E8*K8*12</f>
        <v>17432.371500000001</v>
      </c>
      <c r="M8" s="66">
        <f t="shared" ref="M8:M15" si="3">K8/($I$16/12)</f>
        <v>1.2596117411925883E-3</v>
      </c>
      <c r="N8" s="44">
        <v>255</v>
      </c>
      <c r="O8" s="44">
        <v>260</v>
      </c>
      <c r="P8" s="108">
        <f>(O8-N8)/N8</f>
        <v>1.9607843137254902E-2</v>
      </c>
      <c r="Q8" s="20">
        <v>275</v>
      </c>
      <c r="R8" s="108">
        <f>(H8-Q8)/Q8</f>
        <v>1.8181818181818181E-2</v>
      </c>
    </row>
    <row r="9" spans="1:22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si="0"/>
        <v>316.26564166666668</v>
      </c>
      <c r="H9" s="14">
        <v>314</v>
      </c>
      <c r="I9" s="36">
        <f t="shared" ref="I9:I15" si="4">E9*H9*12</f>
        <v>18840</v>
      </c>
      <c r="J9" s="66">
        <f t="shared" si="1"/>
        <v>1.3613228242679639E-3</v>
      </c>
      <c r="K9" s="29">
        <f t="shared" si="2"/>
        <v>321.33264166666663</v>
      </c>
      <c r="L9" s="36">
        <f t="shared" ref="L9:L15" si="5">E9*K9*12</f>
        <v>19279.958499999997</v>
      </c>
      <c r="M9" s="66">
        <f t="shared" si="3"/>
        <v>1.393112927653351E-3</v>
      </c>
      <c r="N9" s="44">
        <v>288</v>
      </c>
      <c r="O9" s="44">
        <v>294</v>
      </c>
      <c r="P9" s="108">
        <f t="shared" ref="P9:P15" si="6">(O9-N9)/N9</f>
        <v>2.0833333333333332E-2</v>
      </c>
      <c r="Q9" s="20">
        <v>308</v>
      </c>
      <c r="R9" s="108">
        <f t="shared" ref="R9:R15" si="7">(H9-Q9)/Q9</f>
        <v>1.948051948051948E-2</v>
      </c>
    </row>
    <row r="10" spans="1:22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0"/>
        <v>348.58475833333335</v>
      </c>
      <c r="H10" s="14">
        <v>345</v>
      </c>
      <c r="I10" s="36">
        <f t="shared" si="4"/>
        <v>542340</v>
      </c>
      <c r="J10" s="66">
        <f t="shared" si="1"/>
        <v>1.4957209374918711E-3</v>
      </c>
      <c r="K10" s="29">
        <f t="shared" si="2"/>
        <v>352.12575833333335</v>
      </c>
      <c r="L10" s="36">
        <f t="shared" si="5"/>
        <v>553541.69209999999</v>
      </c>
      <c r="M10" s="66">
        <f t="shared" si="3"/>
        <v>1.5266141141141141E-3</v>
      </c>
      <c r="N10" s="44">
        <v>319</v>
      </c>
      <c r="O10" s="44">
        <v>325</v>
      </c>
      <c r="P10" s="108">
        <f t="shared" si="6"/>
        <v>1.8808777429467086E-2</v>
      </c>
      <c r="Q10" s="20">
        <v>339</v>
      </c>
      <c r="R10" s="108">
        <f t="shared" si="7"/>
        <v>1.7699115044247787E-2</v>
      </c>
    </row>
    <row r="11" spans="1:22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0"/>
        <v>410.91448333333335</v>
      </c>
      <c r="H11" s="14">
        <v>412</v>
      </c>
      <c r="I11" s="36">
        <f t="shared" si="4"/>
        <v>64272</v>
      </c>
      <c r="J11" s="66">
        <f t="shared" si="1"/>
        <v>1.7861942789757998E-3</v>
      </c>
      <c r="K11" s="29">
        <f t="shared" si="2"/>
        <v>411.51248333333331</v>
      </c>
      <c r="L11" s="36">
        <f t="shared" si="5"/>
        <v>64195.947399999997</v>
      </c>
      <c r="M11" s="66">
        <f t="shared" si="3"/>
        <v>1.7840806880027283E-3</v>
      </c>
      <c r="N11" s="44">
        <v>384</v>
      </c>
      <c r="O11" s="44">
        <v>392</v>
      </c>
      <c r="P11" s="108">
        <f t="shared" si="6"/>
        <v>2.0833333333333332E-2</v>
      </c>
      <c r="Q11" s="20">
        <v>404</v>
      </c>
      <c r="R11" s="108">
        <f t="shared" si="7"/>
        <v>1.9801980198019802E-2</v>
      </c>
    </row>
    <row r="12" spans="1:22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0"/>
        <v>427.07404166666669</v>
      </c>
      <c r="H12" s="14">
        <v>427</v>
      </c>
      <c r="I12" s="36">
        <f t="shared" si="4"/>
        <v>1055544</v>
      </c>
      <c r="J12" s="66">
        <f t="shared" si="1"/>
        <v>1.851225624084142E-3</v>
      </c>
      <c r="K12" s="29">
        <f t="shared" si="2"/>
        <v>426.90904166666672</v>
      </c>
      <c r="L12" s="36">
        <f t="shared" si="5"/>
        <v>1055319.1510000001</v>
      </c>
      <c r="M12" s="66">
        <f t="shared" si="3"/>
        <v>1.8508312812331102E-3</v>
      </c>
      <c r="N12" s="44">
        <v>399</v>
      </c>
      <c r="O12" s="44">
        <v>407</v>
      </c>
      <c r="P12" s="108">
        <f t="shared" si="6"/>
        <v>2.0050125313283207E-2</v>
      </c>
      <c r="Q12" s="20">
        <v>419</v>
      </c>
      <c r="R12" s="108">
        <f t="shared" si="7"/>
        <v>1.9093078758949882E-2</v>
      </c>
    </row>
    <row r="13" spans="1:22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0"/>
        <v>466.31868333333335</v>
      </c>
      <c r="H13" s="14">
        <v>468</v>
      </c>
      <c r="I13" s="36">
        <f t="shared" si="4"/>
        <v>61776</v>
      </c>
      <c r="J13" s="66">
        <f t="shared" si="1"/>
        <v>2.0289779673802774E-3</v>
      </c>
      <c r="K13" s="29">
        <f t="shared" si="2"/>
        <v>464.30068333333338</v>
      </c>
      <c r="L13" s="36">
        <f t="shared" si="5"/>
        <v>61287.690200000012</v>
      </c>
      <c r="M13" s="66">
        <f t="shared" si="3"/>
        <v>2.0129398647926082E-3</v>
      </c>
      <c r="N13" s="44">
        <v>439</v>
      </c>
      <c r="O13" s="44">
        <v>448</v>
      </c>
      <c r="P13" s="108">
        <f t="shared" si="6"/>
        <v>2.0501138952164009E-2</v>
      </c>
      <c r="Q13" s="20">
        <v>459</v>
      </c>
      <c r="R13" s="108">
        <f t="shared" si="7"/>
        <v>1.9607843137254902E-2</v>
      </c>
    </row>
    <row r="14" spans="1:22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0"/>
        <v>475.55271666666675</v>
      </c>
      <c r="H14" s="14">
        <v>477</v>
      </c>
      <c r="I14" s="36">
        <f t="shared" si="4"/>
        <v>875772</v>
      </c>
      <c r="J14" s="66">
        <f t="shared" si="1"/>
        <v>2.0679967744452825E-3</v>
      </c>
      <c r="K14" s="29">
        <f t="shared" si="2"/>
        <v>473.09871666666675</v>
      </c>
      <c r="L14" s="36">
        <f t="shared" si="5"/>
        <v>868609.24380000029</v>
      </c>
      <c r="M14" s="66">
        <f t="shared" si="3"/>
        <v>2.0510830609242548E-3</v>
      </c>
      <c r="N14" s="44">
        <v>448</v>
      </c>
      <c r="O14" s="44">
        <v>457</v>
      </c>
      <c r="P14" s="108">
        <f t="shared" si="6"/>
        <v>2.0089285714285716E-2</v>
      </c>
      <c r="Q14" s="20">
        <v>468</v>
      </c>
      <c r="R14" s="108">
        <f t="shared" si="7"/>
        <v>1.9230769230769232E-2</v>
      </c>
    </row>
    <row r="15" spans="1:22" ht="15.75">
      <c r="A15" s="44">
        <f>A7-A10</f>
        <v>2584196</v>
      </c>
      <c r="B15" s="44">
        <f>B7-B10</f>
        <v>2639410</v>
      </c>
      <c r="C15" s="73">
        <f>(B15-A15)/A15</f>
        <v>2.136602641595297E-2</v>
      </c>
      <c r="D15" s="27" t="s">
        <v>24</v>
      </c>
      <c r="E15" s="14">
        <v>21</v>
      </c>
      <c r="F15" s="28">
        <v>2.2599999999999999E-3</v>
      </c>
      <c r="G15" s="14">
        <f t="shared" si="0"/>
        <v>521.72288333333336</v>
      </c>
      <c r="H15" s="14">
        <v>526</v>
      </c>
      <c r="I15" s="67">
        <f t="shared" si="4"/>
        <v>132552</v>
      </c>
      <c r="J15" s="66">
        <f t="shared" si="1"/>
        <v>2.2804325017992005E-3</v>
      </c>
      <c r="K15" s="29">
        <f t="shared" si="2"/>
        <v>517.08888333333334</v>
      </c>
      <c r="L15" s="36">
        <f t="shared" si="5"/>
        <v>130306.39860000001</v>
      </c>
      <c r="M15" s="66">
        <f t="shared" si="3"/>
        <v>2.2417990415824871E-3</v>
      </c>
      <c r="N15" s="44">
        <v>496</v>
      </c>
      <c r="O15" s="44">
        <v>506</v>
      </c>
      <c r="P15" s="108">
        <f t="shared" si="6"/>
        <v>2.0161290322580645E-2</v>
      </c>
      <c r="Q15" s="20">
        <v>516</v>
      </c>
      <c r="R15" s="108">
        <f t="shared" si="7"/>
        <v>1.937984496124031E-2</v>
      </c>
    </row>
    <row r="16" spans="1:22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2767896</v>
      </c>
      <c r="J16" s="36"/>
      <c r="L16" s="36">
        <f>SUM(L8:L15)</f>
        <v>2769972.4531000005</v>
      </c>
      <c r="O16" s="44"/>
      <c r="Q16" s="3"/>
    </row>
    <row r="17" spans="1:17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2770210</v>
      </c>
      <c r="J17" s="11"/>
      <c r="L17" s="72">
        <f>B7</f>
        <v>2770210</v>
      </c>
      <c r="O17" s="107"/>
      <c r="Q17" s="3"/>
    </row>
    <row r="18" spans="1:17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-2314</v>
      </c>
      <c r="J18" s="18"/>
      <c r="L18" s="39">
        <f>L16-L17</f>
        <v>-237.54689999949187</v>
      </c>
      <c r="O18" s="16"/>
      <c r="Q18" s="3"/>
    </row>
    <row r="19" spans="1:17" ht="15.75">
      <c r="A19" s="24" t="s">
        <v>61</v>
      </c>
      <c r="B19" s="24" t="s">
        <v>61</v>
      </c>
      <c r="C19" s="24"/>
    </row>
    <row r="20" spans="1:17" ht="15.75">
      <c r="A20" s="44">
        <f>A7/12</f>
        <v>226249.66666666666</v>
      </c>
      <c r="B20" s="44">
        <f>B7/12</f>
        <v>230850.83333333334</v>
      </c>
      <c r="C20" s="73">
        <f>(B20-A20)/A20</f>
        <v>2.0336678212417341E-2</v>
      </c>
    </row>
    <row r="21" spans="1:17" ht="15.75">
      <c r="A21" s="44"/>
      <c r="B21" s="44"/>
      <c r="C21" s="44"/>
    </row>
    <row r="22" spans="1:17" ht="15.75">
      <c r="A22" s="24" t="s">
        <v>31</v>
      </c>
      <c r="B22" s="24" t="s">
        <v>31</v>
      </c>
      <c r="C22" s="24"/>
    </row>
    <row r="23" spans="1:17" ht="15.75">
      <c r="A23" s="24" t="s">
        <v>65</v>
      </c>
      <c r="B23" s="24" t="s">
        <v>65</v>
      </c>
      <c r="C23" s="24"/>
    </row>
    <row r="24" spans="1:17" ht="15.75">
      <c r="A24" s="24" t="s">
        <v>61</v>
      </c>
      <c r="B24" s="24" t="s">
        <v>61</v>
      </c>
      <c r="C24" s="24"/>
    </row>
    <row r="25" spans="1:17" ht="15.75">
      <c r="A25" s="44">
        <f>A15/12</f>
        <v>215349.66666666666</v>
      </c>
      <c r="B25" s="44">
        <f>B15/12</f>
        <v>219950.83333333334</v>
      </c>
      <c r="C25" s="73">
        <f>(B25-A25)/A25</f>
        <v>2.136602641595306E-2</v>
      </c>
    </row>
    <row r="26" spans="1:17" ht="15.75">
      <c r="A26" s="20"/>
      <c r="B26" s="20"/>
      <c r="C26" s="20"/>
    </row>
    <row r="27" spans="1:17" ht="15.75">
      <c r="A27" s="24" t="s">
        <v>61</v>
      </c>
      <c r="B27" s="24" t="s">
        <v>61</v>
      </c>
      <c r="C27" s="24"/>
    </row>
    <row r="28" spans="1:17" ht="15.75">
      <c r="A28" s="20">
        <v>20</v>
      </c>
      <c r="B28" s="20">
        <v>20</v>
      </c>
      <c r="C28" s="20"/>
    </row>
  </sheetData>
  <pageMargins left="0.7" right="0.7" top="0.75" bottom="0.75" header="0.3" footer="0.3"/>
  <pageSetup orientation="portrait" horizontalDpi="0" verticalDpi="0" r:id="rId1"/>
  <ignoredErrors>
    <ignoredError sqref="N4:Q4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8"/>
  <sheetViews>
    <sheetView showGridLines="0" topLeftCell="A22" workbookViewId="0"/>
  </sheetViews>
  <sheetFormatPr defaultRowHeight="15"/>
  <cols>
    <col min="1" max="1" width="13.28515625" customWidth="1"/>
    <col min="2" max="2" width="12.7109375" customWidth="1"/>
    <col min="4" max="4" width="10.42578125" bestFit="1" customWidth="1"/>
    <col min="5" max="5" width="6" bestFit="1" customWidth="1"/>
    <col min="6" max="6" width="11.140625" customWidth="1"/>
    <col min="7" max="7" width="4.5703125" customWidth="1"/>
    <col min="8" max="8" width="8.42578125" customWidth="1"/>
    <col min="9" max="9" width="10.140625" bestFit="1" customWidth="1"/>
    <col min="10" max="10" width="9.5703125" bestFit="1" customWidth="1"/>
    <col min="11" max="11" width="6.85546875" bestFit="1" customWidth="1"/>
    <col min="12" max="12" width="10.140625" bestFit="1" customWidth="1"/>
    <col min="13" max="13" width="9.5703125" bestFit="1" customWidth="1"/>
    <col min="14" max="14" width="7" bestFit="1" customWidth="1"/>
    <col min="15" max="15" width="7" customWidth="1"/>
    <col min="16" max="16" width="5.5703125" customWidth="1"/>
    <col min="17" max="17" width="7" customWidth="1"/>
    <col min="18" max="18" width="5.5703125" customWidth="1"/>
    <col min="19" max="19" width="13.7109375" bestFit="1" customWidth="1"/>
  </cols>
  <sheetData>
    <row r="1" spans="1:18" ht="26.25">
      <c r="A1" s="104" t="s">
        <v>110</v>
      </c>
      <c r="K1" s="2"/>
    </row>
    <row r="2" spans="1:18" ht="21">
      <c r="A2" s="104" t="s">
        <v>116</v>
      </c>
    </row>
    <row r="4" spans="1:18" ht="15.75" customHeight="1">
      <c r="A4" s="97">
        <v>2008</v>
      </c>
      <c r="B4" s="97">
        <v>2009</v>
      </c>
      <c r="C4" s="98"/>
      <c r="D4" s="13"/>
      <c r="E4" s="11"/>
      <c r="F4" s="12"/>
      <c r="G4" s="10" t="s">
        <v>36</v>
      </c>
      <c r="H4" s="11" t="s">
        <v>46</v>
      </c>
      <c r="K4" s="97" t="s">
        <v>34</v>
      </c>
      <c r="N4" s="111" t="s">
        <v>106</v>
      </c>
      <c r="O4" s="111" t="s">
        <v>106</v>
      </c>
      <c r="P4" s="111" t="s">
        <v>106</v>
      </c>
      <c r="Q4" s="111" t="s">
        <v>109</v>
      </c>
      <c r="R4" s="111" t="s">
        <v>109</v>
      </c>
    </row>
    <row r="5" spans="1:18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K5" s="10" t="s">
        <v>35</v>
      </c>
      <c r="N5" s="10" t="s">
        <v>46</v>
      </c>
      <c r="O5" s="10" t="s">
        <v>46</v>
      </c>
      <c r="P5" s="112">
        <v>2008</v>
      </c>
      <c r="Q5" s="10" t="s">
        <v>46</v>
      </c>
      <c r="R5" s="112">
        <v>2008</v>
      </c>
    </row>
    <row r="6" spans="1:18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I6" s="24" t="s">
        <v>36</v>
      </c>
      <c r="J6" s="24" t="s">
        <v>36</v>
      </c>
      <c r="K6" s="10" t="s">
        <v>14</v>
      </c>
      <c r="L6" s="24" t="s">
        <v>105</v>
      </c>
      <c r="M6" s="24" t="s">
        <v>105</v>
      </c>
      <c r="N6" s="10">
        <v>2008</v>
      </c>
      <c r="O6" s="10">
        <v>2009</v>
      </c>
      <c r="P6" s="10" t="s">
        <v>108</v>
      </c>
      <c r="Q6" s="10">
        <v>2007</v>
      </c>
      <c r="R6" s="10" t="s">
        <v>108</v>
      </c>
    </row>
    <row r="7" spans="1:18" ht="15.75">
      <c r="A7" s="44">
        <v>2770210</v>
      </c>
      <c r="B7" s="36">
        <v>2905238</v>
      </c>
      <c r="C7" s="73">
        <f>(B7-A7)/A7</f>
        <v>4.8742875088892176E-2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2009</v>
      </c>
      <c r="I7" s="10" t="s">
        <v>15</v>
      </c>
      <c r="J7" s="10" t="s">
        <v>35</v>
      </c>
      <c r="K7" s="10" t="s">
        <v>32</v>
      </c>
      <c r="L7" s="10" t="s">
        <v>15</v>
      </c>
      <c r="M7" s="10" t="s">
        <v>35</v>
      </c>
      <c r="N7" s="10" t="s">
        <v>47</v>
      </c>
      <c r="O7" s="10" t="s">
        <v>47</v>
      </c>
      <c r="P7" s="10">
        <v>2009</v>
      </c>
      <c r="Q7" s="10" t="s">
        <v>47</v>
      </c>
      <c r="R7" s="10">
        <v>2009</v>
      </c>
    </row>
    <row r="8" spans="1:18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 t="shared" ref="G8:G15" si="0">F8*$B$20</f>
        <v>297.78689499999996</v>
      </c>
      <c r="H8" s="14">
        <v>293</v>
      </c>
      <c r="I8" s="36">
        <f>E8*H8*12</f>
        <v>17580</v>
      </c>
      <c r="J8" s="66">
        <f t="shared" ref="J8:J15" si="1">H8/($I$16/12)</f>
        <v>1.212949163768836E-3</v>
      </c>
      <c r="K8" s="29">
        <f t="shared" ref="K8:K15" si="2">F8*$B$25+$B$28</f>
        <v>304.37989499999998</v>
      </c>
      <c r="L8" s="36">
        <f>E8*K8*12</f>
        <v>18262.793699999998</v>
      </c>
      <c r="M8" s="66">
        <f t="shared" ref="M8:M15" si="3">K8/($I$16/12)</f>
        <v>1.2600591778440138E-3</v>
      </c>
      <c r="N8" s="16">
        <v>260</v>
      </c>
      <c r="O8" s="16">
        <v>273</v>
      </c>
      <c r="P8" s="113">
        <f>(O8-N8)/N8</f>
        <v>0.05</v>
      </c>
      <c r="Q8" s="11">
        <v>280</v>
      </c>
      <c r="R8" s="113">
        <f>(H8-Q8)/Q8</f>
        <v>4.642857142857143E-2</v>
      </c>
    </row>
    <row r="9" spans="1:18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si="0"/>
        <v>331.68133833333331</v>
      </c>
      <c r="H9" s="14">
        <v>329</v>
      </c>
      <c r="I9" s="36">
        <f t="shared" ref="I9:I15" si="4">E9*H9*12</f>
        <v>19740</v>
      </c>
      <c r="J9" s="66">
        <f t="shared" si="1"/>
        <v>1.3619804603411162E-3</v>
      </c>
      <c r="K9" s="29">
        <f t="shared" si="2"/>
        <v>336.74833833333332</v>
      </c>
      <c r="L9" s="36">
        <f t="shared" ref="L9:L15" si="5">E9*K9*12</f>
        <v>20204.900300000001</v>
      </c>
      <c r="M9" s="66">
        <f t="shared" si="3"/>
        <v>1.3940567077882651E-3</v>
      </c>
      <c r="N9" s="16">
        <v>294</v>
      </c>
      <c r="O9" s="16">
        <v>309</v>
      </c>
      <c r="P9" s="113">
        <f t="shared" ref="P9:P15" si="6">(O9-N9)/N9</f>
        <v>5.1020408163265307E-2</v>
      </c>
      <c r="Q9" s="11">
        <v>314</v>
      </c>
      <c r="R9" s="113">
        <f t="shared" ref="R9:R15" si="7">(H9-Q9)/Q9</f>
        <v>4.7770700636942678E-2</v>
      </c>
    </row>
    <row r="10" spans="1:18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0"/>
        <v>365.57578166666667</v>
      </c>
      <c r="H10" s="14">
        <v>361</v>
      </c>
      <c r="I10" s="36">
        <f t="shared" si="4"/>
        <v>567492</v>
      </c>
      <c r="J10" s="66">
        <f t="shared" si="1"/>
        <v>1.4944527239609208E-3</v>
      </c>
      <c r="K10" s="29">
        <f t="shared" si="2"/>
        <v>369.11678166666667</v>
      </c>
      <c r="L10" s="36">
        <f t="shared" si="5"/>
        <v>580251.58077999996</v>
      </c>
      <c r="M10" s="66">
        <f t="shared" si="3"/>
        <v>1.5280542377325164E-3</v>
      </c>
      <c r="N10" s="16">
        <v>325</v>
      </c>
      <c r="O10" s="16">
        <v>341</v>
      </c>
      <c r="P10" s="113">
        <f t="shared" si="6"/>
        <v>4.9230769230769231E-2</v>
      </c>
      <c r="Q10" s="11">
        <v>345</v>
      </c>
      <c r="R10" s="113">
        <f t="shared" si="7"/>
        <v>4.6376811594202899E-2</v>
      </c>
    </row>
    <row r="11" spans="1:18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0"/>
        <v>430.94363666666663</v>
      </c>
      <c r="H11" s="14">
        <v>432</v>
      </c>
      <c r="I11" s="36">
        <f t="shared" si="4"/>
        <v>67392</v>
      </c>
      <c r="J11" s="66">
        <f t="shared" si="1"/>
        <v>1.7883755588673621E-3</v>
      </c>
      <c r="K11" s="29">
        <f t="shared" si="2"/>
        <v>431.54163666666665</v>
      </c>
      <c r="L11" s="36">
        <f t="shared" si="5"/>
        <v>67320.495320000002</v>
      </c>
      <c r="M11" s="66">
        <f t="shared" si="3"/>
        <v>1.7864780454821439E-3</v>
      </c>
      <c r="N11" s="16">
        <v>392</v>
      </c>
      <c r="O11" s="16">
        <v>412</v>
      </c>
      <c r="P11" s="113">
        <f t="shared" si="6"/>
        <v>5.1020408163265307E-2</v>
      </c>
      <c r="Q11" s="11">
        <v>412</v>
      </c>
      <c r="R11" s="113">
        <f t="shared" si="7"/>
        <v>4.8543689320388349E-2</v>
      </c>
    </row>
    <row r="12" spans="1:18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0"/>
        <v>447.89085833333331</v>
      </c>
      <c r="H12" s="14">
        <v>447</v>
      </c>
      <c r="I12" s="36">
        <f t="shared" si="4"/>
        <v>1104984</v>
      </c>
      <c r="J12" s="66">
        <f t="shared" si="1"/>
        <v>1.8504719324391457E-3</v>
      </c>
      <c r="K12" s="29">
        <f t="shared" si="2"/>
        <v>447.72585833333335</v>
      </c>
      <c r="L12" s="36">
        <f t="shared" si="5"/>
        <v>1106778.3218</v>
      </c>
      <c r="M12" s="66">
        <f t="shared" si="3"/>
        <v>1.8534768104542696E-3</v>
      </c>
      <c r="N12" s="16">
        <v>407</v>
      </c>
      <c r="O12" s="16">
        <v>427</v>
      </c>
      <c r="P12" s="113">
        <f t="shared" si="6"/>
        <v>4.9140049140049137E-2</v>
      </c>
      <c r="Q12" s="11">
        <v>427</v>
      </c>
      <c r="R12" s="113">
        <f t="shared" si="7"/>
        <v>4.6838407494145202E-2</v>
      </c>
    </row>
    <row r="13" spans="1:18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0"/>
        <v>489.04839666666669</v>
      </c>
      <c r="H13" s="14">
        <v>490</v>
      </c>
      <c r="I13" s="36">
        <f t="shared" si="4"/>
        <v>64680</v>
      </c>
      <c r="J13" s="66">
        <f t="shared" si="1"/>
        <v>2.0284815366782582E-3</v>
      </c>
      <c r="K13" s="29">
        <f t="shared" si="2"/>
        <v>487.03039666666666</v>
      </c>
      <c r="L13" s="36">
        <f t="shared" si="5"/>
        <v>64288.012360000001</v>
      </c>
      <c r="M13" s="66">
        <f t="shared" si="3"/>
        <v>2.0161880968151461E-3</v>
      </c>
      <c r="N13" s="16">
        <v>448</v>
      </c>
      <c r="O13" s="16">
        <v>470</v>
      </c>
      <c r="P13" s="113">
        <f t="shared" si="6"/>
        <v>4.9107142857142856E-2</v>
      </c>
      <c r="Q13" s="11">
        <v>468</v>
      </c>
      <c r="R13" s="113">
        <f t="shared" si="7"/>
        <v>4.7008547008547008E-2</v>
      </c>
    </row>
    <row r="14" spans="1:18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0"/>
        <v>498.73252333333335</v>
      </c>
      <c r="H14" s="14">
        <v>500</v>
      </c>
      <c r="I14" s="36">
        <f t="shared" si="4"/>
        <v>918000</v>
      </c>
      <c r="J14" s="66">
        <f t="shared" si="1"/>
        <v>2.0698791190594469E-3</v>
      </c>
      <c r="K14" s="29">
        <f t="shared" si="2"/>
        <v>496.27852333333334</v>
      </c>
      <c r="L14" s="36">
        <f t="shared" si="5"/>
        <v>911167.36883999989</v>
      </c>
      <c r="M14" s="66">
        <f t="shared" si="3"/>
        <v>2.0544731053706465E-3</v>
      </c>
      <c r="N14" s="16">
        <v>457</v>
      </c>
      <c r="O14" s="16">
        <v>480</v>
      </c>
      <c r="P14" s="113">
        <f t="shared" si="6"/>
        <v>5.0328227571115977E-2</v>
      </c>
      <c r="Q14" s="11">
        <v>477</v>
      </c>
      <c r="R14" s="113">
        <f t="shared" si="7"/>
        <v>4.8218029350104823E-2</v>
      </c>
    </row>
    <row r="15" spans="1:18" ht="15.75">
      <c r="A15" s="44">
        <f>A7-A10</f>
        <v>2639410</v>
      </c>
      <c r="B15" s="44">
        <f>B7-B10</f>
        <v>2774438</v>
      </c>
      <c r="C15" s="73">
        <f>(B15-A15)/A15</f>
        <v>5.1158402824873737E-2</v>
      </c>
      <c r="D15" s="27" t="s">
        <v>24</v>
      </c>
      <c r="E15" s="14">
        <v>21</v>
      </c>
      <c r="F15" s="28">
        <v>2.2599999999999999E-3</v>
      </c>
      <c r="G15" s="14">
        <f t="shared" si="0"/>
        <v>547.15315666666663</v>
      </c>
      <c r="H15" s="14">
        <v>551</v>
      </c>
      <c r="I15" s="67">
        <f t="shared" si="4"/>
        <v>138852</v>
      </c>
      <c r="J15" s="66">
        <f t="shared" si="1"/>
        <v>2.2810067892035106E-3</v>
      </c>
      <c r="K15" s="29">
        <f t="shared" si="2"/>
        <v>542.51915666666662</v>
      </c>
      <c r="L15" s="36">
        <f t="shared" si="5"/>
        <v>136714.82747999998</v>
      </c>
      <c r="M15" s="66">
        <f t="shared" si="3"/>
        <v>2.2458981481481479E-3</v>
      </c>
      <c r="N15" s="16">
        <v>506</v>
      </c>
      <c r="O15" s="16">
        <v>531</v>
      </c>
      <c r="P15" s="113">
        <f t="shared" si="6"/>
        <v>4.9407114624505928E-2</v>
      </c>
      <c r="Q15" s="11">
        <v>526</v>
      </c>
      <c r="R15" s="113">
        <f t="shared" si="7"/>
        <v>4.7528517110266157E-2</v>
      </c>
    </row>
    <row r="16" spans="1:18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2898720</v>
      </c>
      <c r="J16" s="36"/>
      <c r="L16" s="36">
        <f>SUM(L8:L15)</f>
        <v>2904988.30058</v>
      </c>
      <c r="O16" s="44"/>
      <c r="Q16" s="3"/>
    </row>
    <row r="17" spans="1:17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2905238</v>
      </c>
      <c r="J17" s="11"/>
      <c r="L17" s="72">
        <f>B7</f>
        <v>2905238</v>
      </c>
      <c r="O17" s="107"/>
      <c r="Q17" s="3"/>
    </row>
    <row r="18" spans="1:17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-6518</v>
      </c>
      <c r="J18" s="18"/>
      <c r="L18" s="39">
        <f>L16-L17</f>
        <v>-249.69941999996081</v>
      </c>
      <c r="O18" s="16"/>
      <c r="Q18" s="3"/>
    </row>
    <row r="19" spans="1:17" ht="15.75">
      <c r="A19" s="24" t="s">
        <v>61</v>
      </c>
      <c r="B19" s="24" t="s">
        <v>61</v>
      </c>
      <c r="C19" s="24"/>
    </row>
    <row r="20" spans="1:17" ht="15.75">
      <c r="A20" s="44">
        <f>A7/12</f>
        <v>230850.83333333334</v>
      </c>
      <c r="B20" s="44">
        <f>B7/12</f>
        <v>242103.16666666666</v>
      </c>
      <c r="C20" s="73">
        <f>(B20-A20)/A20</f>
        <v>4.8742875088892093E-2</v>
      </c>
    </row>
    <row r="21" spans="1:17" ht="15.75">
      <c r="A21" s="44"/>
      <c r="B21" s="44"/>
      <c r="C21" s="44"/>
    </row>
    <row r="22" spans="1:17" ht="15.75">
      <c r="A22" s="24" t="s">
        <v>31</v>
      </c>
      <c r="B22" s="24" t="s">
        <v>31</v>
      </c>
      <c r="C22" s="24"/>
    </row>
    <row r="23" spans="1:17" ht="15.75">
      <c r="A23" s="24" t="s">
        <v>65</v>
      </c>
      <c r="B23" s="24" t="s">
        <v>65</v>
      </c>
      <c r="C23" s="24"/>
    </row>
    <row r="24" spans="1:17" ht="15.75">
      <c r="A24" s="24" t="s">
        <v>61</v>
      </c>
      <c r="B24" s="24" t="s">
        <v>61</v>
      </c>
      <c r="C24" s="24"/>
    </row>
    <row r="25" spans="1:17" ht="15.75">
      <c r="A25" s="44">
        <f>A15/12</f>
        <v>219950.83333333334</v>
      </c>
      <c r="B25" s="44">
        <f>B15/12</f>
        <v>231203.16666666666</v>
      </c>
      <c r="C25" s="73">
        <f>(B25-A25)/A25</f>
        <v>5.1158402824873647E-2</v>
      </c>
    </row>
    <row r="26" spans="1:17" ht="15.75">
      <c r="A26" s="20"/>
      <c r="B26" s="20"/>
      <c r="C26" s="20"/>
    </row>
    <row r="27" spans="1:17" ht="15.75">
      <c r="A27" s="24" t="s">
        <v>61</v>
      </c>
      <c r="B27" s="24" t="s">
        <v>61</v>
      </c>
      <c r="C27" s="24"/>
    </row>
    <row r="28" spans="1:17" ht="15.75">
      <c r="A28" s="20">
        <v>20</v>
      </c>
      <c r="B28" s="20">
        <v>20</v>
      </c>
      <c r="C28" s="20"/>
    </row>
  </sheetData>
  <pageMargins left="0.7" right="0.7" top="0.75" bottom="0.75" header="0.3" footer="0.3"/>
  <pageSetup orientation="portrait" horizontalDpi="0" verticalDpi="0" r:id="rId1"/>
  <ignoredErrors>
    <ignoredError sqref="N4:R4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31"/>
  <sheetViews>
    <sheetView showGridLines="0" topLeftCell="C1" zoomScale="95" zoomScaleNormal="95" workbookViewId="0">
      <selection activeCell="A8" sqref="A8"/>
    </sheetView>
  </sheetViews>
  <sheetFormatPr defaultRowHeight="15"/>
  <cols>
    <col min="1" max="1" width="12.140625" customWidth="1"/>
    <col min="2" max="2" width="11.140625" customWidth="1"/>
    <col min="4" max="4" width="10.42578125" bestFit="1" customWidth="1"/>
    <col min="5" max="5" width="6" bestFit="1" customWidth="1"/>
    <col min="6" max="6" width="11.140625" bestFit="1" customWidth="1"/>
    <col min="7" max="7" width="4.5703125" bestFit="1" customWidth="1"/>
    <col min="8" max="8" width="8.42578125" bestFit="1" customWidth="1"/>
    <col min="9" max="9" width="10.140625" bestFit="1" customWidth="1"/>
    <col min="10" max="10" width="9.5703125" bestFit="1" customWidth="1"/>
    <col min="11" max="11" width="6.85546875" bestFit="1" customWidth="1"/>
    <col min="12" max="12" width="10.140625" bestFit="1" customWidth="1"/>
    <col min="13" max="13" width="9.5703125" bestFit="1" customWidth="1"/>
    <col min="14" max="15" width="7" bestFit="1" customWidth="1"/>
    <col min="16" max="16" width="5.5703125" bestFit="1" customWidth="1"/>
    <col min="17" max="17" width="7" bestFit="1" customWidth="1"/>
    <col min="18" max="18" width="5.5703125" bestFit="1" customWidth="1"/>
    <col min="20" max="20" width="3.42578125" customWidth="1"/>
    <col min="21" max="21" width="4.85546875" customWidth="1"/>
    <col min="22" max="22" width="4.5703125" customWidth="1"/>
  </cols>
  <sheetData>
    <row r="1" spans="1:18" ht="26.25">
      <c r="A1" s="104" t="s">
        <v>115</v>
      </c>
      <c r="K1" s="2"/>
    </row>
    <row r="2" spans="1:18" ht="21">
      <c r="A2" s="104" t="s">
        <v>117</v>
      </c>
    </row>
    <row r="4" spans="1:18" ht="26.25">
      <c r="A4" s="97" t="s">
        <v>111</v>
      </c>
      <c r="B4" s="97">
        <v>2011</v>
      </c>
      <c r="C4" s="98"/>
      <c r="D4" s="13"/>
      <c r="E4" s="11"/>
      <c r="F4" s="12"/>
      <c r="G4" s="10" t="s">
        <v>36</v>
      </c>
      <c r="H4" s="11" t="s">
        <v>46</v>
      </c>
      <c r="K4" s="97" t="s">
        <v>34</v>
      </c>
      <c r="N4" s="111" t="s">
        <v>106</v>
      </c>
      <c r="O4" s="111" t="s">
        <v>106</v>
      </c>
      <c r="P4" s="111" t="s">
        <v>106</v>
      </c>
      <c r="Q4" s="111" t="s">
        <v>109</v>
      </c>
      <c r="R4" s="111" t="s">
        <v>109</v>
      </c>
    </row>
    <row r="5" spans="1:18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 t="s">
        <v>47</v>
      </c>
      <c r="K5" s="10" t="s">
        <v>35</v>
      </c>
      <c r="N5" s="10" t="s">
        <v>46</v>
      </c>
      <c r="O5" s="10" t="s">
        <v>46</v>
      </c>
      <c r="P5" s="112">
        <v>2010</v>
      </c>
      <c r="Q5" s="10" t="s">
        <v>46</v>
      </c>
      <c r="R5" s="112">
        <v>2010</v>
      </c>
    </row>
    <row r="6" spans="1:18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I6" s="24" t="s">
        <v>36</v>
      </c>
      <c r="J6" s="24" t="s">
        <v>36</v>
      </c>
      <c r="K6" s="10" t="s">
        <v>14</v>
      </c>
      <c r="L6" s="24" t="s">
        <v>105</v>
      </c>
      <c r="M6" s="24" t="s">
        <v>105</v>
      </c>
      <c r="N6" s="10">
        <v>2010</v>
      </c>
      <c r="O6" s="10">
        <v>2011</v>
      </c>
      <c r="P6" s="10" t="s">
        <v>108</v>
      </c>
      <c r="Q6" s="10">
        <v>2010</v>
      </c>
      <c r="R6" s="10" t="s">
        <v>108</v>
      </c>
    </row>
    <row r="7" spans="1:18" ht="15.75">
      <c r="A7" s="36">
        <v>2905238</v>
      </c>
      <c r="B7" s="150">
        <v>2988471</v>
      </c>
      <c r="C7" s="73">
        <f>(B7-A7)/A7</f>
        <v>2.8649287941297754E-2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2011</v>
      </c>
      <c r="I7" s="10" t="s">
        <v>15</v>
      </c>
      <c r="J7" s="10" t="s">
        <v>35</v>
      </c>
      <c r="K7" s="10" t="s">
        <v>32</v>
      </c>
      <c r="L7" s="10" t="s">
        <v>15</v>
      </c>
      <c r="M7" s="10" t="s">
        <v>35</v>
      </c>
      <c r="N7" s="10" t="s">
        <v>47</v>
      </c>
      <c r="O7" s="10" t="s">
        <v>47</v>
      </c>
      <c r="P7" s="10">
        <v>2011</v>
      </c>
      <c r="Q7" s="10" t="s">
        <v>47</v>
      </c>
      <c r="R7" s="10">
        <v>2011</v>
      </c>
    </row>
    <row r="8" spans="1:18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 t="shared" ref="G8:G15" si="0">F8*$B$20</f>
        <v>306.31827749999997</v>
      </c>
      <c r="H8" s="14">
        <v>302</v>
      </c>
      <c r="I8" s="36">
        <f>E8*H8*12</f>
        <v>18120</v>
      </c>
      <c r="J8" s="66">
        <f t="shared" ref="J8:J15" si="1">H8/($I$16/12)</f>
        <v>1.2126760789604716E-3</v>
      </c>
      <c r="K8" s="29">
        <f t="shared" ref="K8:K15" si="2">F8*$B$25+$B$28</f>
        <v>312.91127749999998</v>
      </c>
      <c r="L8" s="36">
        <f>E8*K8*12</f>
        <v>18774.676649999998</v>
      </c>
      <c r="M8" s="66">
        <f t="shared" ref="M8:M15" si="3">K8/($I$16/12)</f>
        <v>1.2564901359642781E-3</v>
      </c>
      <c r="N8" s="16">
        <v>273</v>
      </c>
      <c r="O8" s="16">
        <v>282</v>
      </c>
      <c r="P8" s="113">
        <f>(O8-N8)/N8</f>
        <v>3.2967032967032968E-2</v>
      </c>
      <c r="Q8" s="11">
        <v>293</v>
      </c>
      <c r="R8" s="113">
        <f>(H8-Q8)/Q8</f>
        <v>3.0716723549488054E-2</v>
      </c>
    </row>
    <row r="9" spans="1:18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si="0"/>
        <v>341.18377249999998</v>
      </c>
      <c r="H9" s="14">
        <v>339</v>
      </c>
      <c r="I9" s="36">
        <f t="shared" ref="I9:I15" si="4">E9*H9*12</f>
        <v>20340</v>
      </c>
      <c r="J9" s="66">
        <f t="shared" si="1"/>
        <v>1.3612489760516551E-3</v>
      </c>
      <c r="K9" s="29">
        <f t="shared" si="2"/>
        <v>346.25077249999998</v>
      </c>
      <c r="L9" s="36">
        <f t="shared" ref="L9:L15" si="5">E9*K9*12</f>
        <v>20775.046350000001</v>
      </c>
      <c r="M9" s="66">
        <f t="shared" si="3"/>
        <v>1.390364334875279E-3</v>
      </c>
      <c r="N9" s="16">
        <v>309</v>
      </c>
      <c r="O9" s="16">
        <v>319</v>
      </c>
      <c r="P9" s="113">
        <f t="shared" ref="P9:P15" si="6">(O9-N9)/N9</f>
        <v>3.2362459546925564E-2</v>
      </c>
      <c r="Q9" s="11">
        <v>329</v>
      </c>
      <c r="R9" s="113">
        <f t="shared" ref="R9:R15" si="7">(H9-Q9)/Q9</f>
        <v>3.0395136778115502E-2</v>
      </c>
    </row>
    <row r="10" spans="1:18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0"/>
        <v>376.04926750000004</v>
      </c>
      <c r="H10" s="14">
        <v>373</v>
      </c>
      <c r="I10" s="36">
        <f t="shared" si="4"/>
        <v>586356</v>
      </c>
      <c r="J10" s="66">
        <f t="shared" si="1"/>
        <v>1.4977754220273374E-3</v>
      </c>
      <c r="K10" s="29">
        <f t="shared" si="2"/>
        <v>379.59026750000004</v>
      </c>
      <c r="L10" s="36">
        <f t="shared" si="5"/>
        <v>596715.90051000006</v>
      </c>
      <c r="M10" s="66">
        <f t="shared" si="3"/>
        <v>1.52423853378628E-3</v>
      </c>
      <c r="N10" s="16">
        <v>341</v>
      </c>
      <c r="O10" s="16">
        <v>353</v>
      </c>
      <c r="P10" s="113">
        <f t="shared" si="6"/>
        <v>3.519061583577713E-2</v>
      </c>
      <c r="Q10" s="11">
        <v>361</v>
      </c>
      <c r="R10" s="113">
        <f t="shared" si="7"/>
        <v>3.3240997229916899E-2</v>
      </c>
    </row>
    <row r="11" spans="1:18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0"/>
        <v>443.28986499999996</v>
      </c>
      <c r="H11" s="14">
        <v>446</v>
      </c>
      <c r="I11" s="36">
        <f t="shared" si="4"/>
        <v>69576</v>
      </c>
      <c r="J11" s="66">
        <f t="shared" si="1"/>
        <v>1.7909057325045375E-3</v>
      </c>
      <c r="K11" s="29">
        <f t="shared" si="2"/>
        <v>443.88786499999998</v>
      </c>
      <c r="L11" s="36">
        <f t="shared" si="5"/>
        <v>69246.506939999992</v>
      </c>
      <c r="M11" s="66">
        <f t="shared" si="3"/>
        <v>1.7824244888289243E-3</v>
      </c>
      <c r="N11" s="16">
        <v>412</v>
      </c>
      <c r="O11" s="16">
        <v>426</v>
      </c>
      <c r="P11" s="113">
        <f t="shared" si="6"/>
        <v>3.3980582524271843E-2</v>
      </c>
      <c r="Q11" s="11">
        <v>432</v>
      </c>
      <c r="R11" s="113">
        <f t="shared" si="7"/>
        <v>3.2407407407407406E-2</v>
      </c>
    </row>
    <row r="12" spans="1:18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0"/>
        <v>460.72261250000003</v>
      </c>
      <c r="H12" s="14">
        <v>460</v>
      </c>
      <c r="I12" s="36">
        <f t="shared" si="4"/>
        <v>1137120</v>
      </c>
      <c r="J12" s="66">
        <f t="shared" si="1"/>
        <v>1.8471225043768772E-3</v>
      </c>
      <c r="K12" s="29">
        <f t="shared" si="2"/>
        <v>460.5576125</v>
      </c>
      <c r="L12" s="36">
        <f t="shared" si="5"/>
        <v>1138498.4180999999</v>
      </c>
      <c r="M12" s="66">
        <f t="shared" si="3"/>
        <v>1.8493615882844248E-3</v>
      </c>
      <c r="N12" s="16">
        <v>427</v>
      </c>
      <c r="O12" s="16">
        <v>440</v>
      </c>
      <c r="P12" s="113">
        <f t="shared" si="6"/>
        <v>3.0444964871194378E-2</v>
      </c>
      <c r="Q12" s="11">
        <v>447</v>
      </c>
      <c r="R12" s="113">
        <f t="shared" si="7"/>
        <v>2.9082774049217001E-2</v>
      </c>
    </row>
    <row r="13" spans="1:18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0"/>
        <v>503.05928500000005</v>
      </c>
      <c r="H13" s="14">
        <v>505</v>
      </c>
      <c r="I13" s="36">
        <f t="shared" si="4"/>
        <v>66660</v>
      </c>
      <c r="J13" s="66">
        <f t="shared" si="1"/>
        <v>2.0278192711093977E-3</v>
      </c>
      <c r="K13" s="29">
        <f t="shared" si="2"/>
        <v>501.04128500000002</v>
      </c>
      <c r="L13" s="36">
        <f t="shared" si="5"/>
        <v>66137.449619999999</v>
      </c>
      <c r="M13" s="66">
        <f t="shared" si="3"/>
        <v>2.0119231155334974E-3</v>
      </c>
      <c r="N13" s="16">
        <v>470</v>
      </c>
      <c r="O13" s="16">
        <v>485</v>
      </c>
      <c r="P13" s="113">
        <f t="shared" si="6"/>
        <v>3.1914893617021274E-2</v>
      </c>
      <c r="Q13" s="11">
        <v>490</v>
      </c>
      <c r="R13" s="113">
        <f t="shared" si="7"/>
        <v>3.0612244897959183E-2</v>
      </c>
    </row>
    <row r="14" spans="1:18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0"/>
        <v>513.0208550000001</v>
      </c>
      <c r="H14" s="14">
        <v>516</v>
      </c>
      <c r="I14" s="36">
        <f t="shared" si="4"/>
        <v>947376</v>
      </c>
      <c r="J14" s="66">
        <f t="shared" si="1"/>
        <v>2.0719895918662364E-3</v>
      </c>
      <c r="K14" s="29">
        <f t="shared" si="2"/>
        <v>510.56685500000003</v>
      </c>
      <c r="L14" s="36">
        <f t="shared" si="5"/>
        <v>937400.74578000011</v>
      </c>
      <c r="M14" s="66">
        <f t="shared" si="3"/>
        <v>2.0501728866509261E-3</v>
      </c>
      <c r="N14" s="16">
        <v>480</v>
      </c>
      <c r="O14" s="16">
        <v>496</v>
      </c>
      <c r="P14" s="113">
        <f t="shared" si="6"/>
        <v>3.3333333333333333E-2</v>
      </c>
      <c r="Q14" s="11">
        <v>500</v>
      </c>
      <c r="R14" s="113">
        <f t="shared" si="7"/>
        <v>3.2000000000000001E-2</v>
      </c>
    </row>
    <row r="15" spans="1:18" ht="15.75">
      <c r="A15" s="44">
        <f>A7-A10</f>
        <v>2774438</v>
      </c>
      <c r="B15" s="44">
        <f>B7-B10</f>
        <v>2857671</v>
      </c>
      <c r="C15" s="73">
        <f>(B15-A15)/A15</f>
        <v>2.9999949539330127E-2</v>
      </c>
      <c r="D15" s="27" t="s">
        <v>24</v>
      </c>
      <c r="E15" s="14">
        <v>21</v>
      </c>
      <c r="F15" s="28">
        <v>2.2599999999999999E-3</v>
      </c>
      <c r="G15" s="14">
        <f t="shared" si="0"/>
        <v>562.82870500000001</v>
      </c>
      <c r="H15" s="14">
        <v>567</v>
      </c>
      <c r="I15" s="67">
        <f t="shared" si="4"/>
        <v>142884</v>
      </c>
      <c r="J15" s="66">
        <f t="shared" si="1"/>
        <v>2.2767792608297597E-3</v>
      </c>
      <c r="K15" s="29">
        <f t="shared" si="2"/>
        <v>558.194705</v>
      </c>
      <c r="L15" s="36">
        <f t="shared" si="5"/>
        <v>140665.06565999999</v>
      </c>
      <c r="M15" s="66">
        <f t="shared" si="3"/>
        <v>2.24142174223807E-3</v>
      </c>
      <c r="N15" s="16">
        <v>531</v>
      </c>
      <c r="O15" s="16">
        <v>547</v>
      </c>
      <c r="P15" s="113">
        <f t="shared" si="6"/>
        <v>3.0131826741996232E-2</v>
      </c>
      <c r="Q15" s="11">
        <v>551</v>
      </c>
      <c r="R15" s="113">
        <f t="shared" si="7"/>
        <v>2.9038112522686024E-2</v>
      </c>
    </row>
    <row r="16" spans="1:18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2988432</v>
      </c>
      <c r="J16" s="36"/>
      <c r="L16" s="36">
        <f>SUM(L8:L15)</f>
        <v>2988213.8096099999</v>
      </c>
      <c r="O16" s="44"/>
      <c r="Q16" s="3"/>
    </row>
    <row r="17" spans="1:17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2988471</v>
      </c>
      <c r="J17" s="11"/>
      <c r="L17" s="72">
        <f>B7</f>
        <v>2988471</v>
      </c>
      <c r="O17" s="107"/>
      <c r="Q17" s="3"/>
    </row>
    <row r="18" spans="1:17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-39</v>
      </c>
      <c r="J18" s="18"/>
      <c r="L18" s="39">
        <f>L16-L17</f>
        <v>-257.19039000011981</v>
      </c>
      <c r="O18" s="16"/>
      <c r="Q18" s="3"/>
    </row>
    <row r="19" spans="1:17" ht="15.75">
      <c r="A19" s="24" t="s">
        <v>61</v>
      </c>
      <c r="B19" s="24" t="s">
        <v>61</v>
      </c>
      <c r="C19" s="24"/>
    </row>
    <row r="20" spans="1:17" ht="15.75">
      <c r="A20" s="44">
        <f>A7/12</f>
        <v>242103.16666666666</v>
      </c>
      <c r="B20" s="44">
        <f>B7/12</f>
        <v>249039.25</v>
      </c>
      <c r="C20" s="73">
        <f>(B20-A20)/A20</f>
        <v>2.8649287941297792E-2</v>
      </c>
    </row>
    <row r="21" spans="1:17" ht="15.75">
      <c r="A21" s="44"/>
      <c r="B21" s="44"/>
      <c r="C21" s="44"/>
    </row>
    <row r="22" spans="1:17" ht="15.75">
      <c r="A22" s="24" t="s">
        <v>31</v>
      </c>
      <c r="B22" s="24" t="s">
        <v>31</v>
      </c>
      <c r="C22" s="24"/>
    </row>
    <row r="23" spans="1:17" ht="15.75">
      <c r="A23" s="24" t="s">
        <v>65</v>
      </c>
      <c r="B23" s="24" t="s">
        <v>65</v>
      </c>
      <c r="C23" s="24"/>
    </row>
    <row r="24" spans="1:17" ht="15.75">
      <c r="A24" s="24" t="s">
        <v>61</v>
      </c>
      <c r="B24" s="24" t="s">
        <v>61</v>
      </c>
      <c r="C24" s="24"/>
    </row>
    <row r="25" spans="1:17" ht="15.75">
      <c r="A25" s="44">
        <f>A15/12</f>
        <v>231203.16666666666</v>
      </c>
      <c r="B25" s="44">
        <f>B15/12</f>
        <v>238139.25</v>
      </c>
      <c r="C25" s="73">
        <f>(B25-A25)/A25</f>
        <v>2.9999949539330172E-2</v>
      </c>
    </row>
    <row r="26" spans="1:17" ht="15.75">
      <c r="A26" s="20"/>
      <c r="B26" s="20"/>
      <c r="C26" s="20"/>
    </row>
    <row r="27" spans="1:17" ht="15.75">
      <c r="A27" s="24" t="s">
        <v>61</v>
      </c>
      <c r="B27" s="24" t="s">
        <v>61</v>
      </c>
      <c r="C27" s="24"/>
    </row>
    <row r="28" spans="1:17" ht="15.75">
      <c r="A28" s="20">
        <v>20</v>
      </c>
      <c r="B28" s="20">
        <v>20</v>
      </c>
      <c r="C28" s="20"/>
    </row>
    <row r="31" spans="1:17">
      <c r="A31">
        <f>2857671+130800</f>
        <v>2988471</v>
      </c>
    </row>
  </sheetData>
  <pageMargins left="0.7" right="0.7" top="0.75" bottom="0.75" header="0.3" footer="0.3"/>
  <ignoredErrors>
    <ignoredError sqref="N4:R4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showGridLines="0" topLeftCell="C16" workbookViewId="0">
      <selection activeCell="J8" sqref="J8"/>
    </sheetView>
  </sheetViews>
  <sheetFormatPr defaultRowHeight="15.75"/>
  <cols>
    <col min="1" max="1" width="12.140625" bestFit="1" customWidth="1"/>
    <col min="2" max="2" width="12.140625" style="17" bestFit="1" customWidth="1"/>
    <col min="3" max="3" width="6.140625" bestFit="1" customWidth="1"/>
    <col min="4" max="4" width="11.7109375" bestFit="1" customWidth="1"/>
    <col min="5" max="5" width="6" bestFit="1" customWidth="1"/>
    <col min="6" max="6" width="11.140625" bestFit="1" customWidth="1"/>
    <col min="7" max="7" width="7.28515625" bestFit="1" customWidth="1"/>
    <col min="8" max="8" width="8.42578125" bestFit="1" customWidth="1"/>
    <col min="10" max="10" width="8.5703125" bestFit="1" customWidth="1"/>
  </cols>
  <sheetData>
    <row r="1" spans="1:11" ht="26.25">
      <c r="C1" s="2"/>
      <c r="D1" s="17"/>
      <c r="E1" s="17"/>
      <c r="F1" s="17"/>
      <c r="G1" s="17"/>
      <c r="H1" s="17"/>
    </row>
    <row r="2" spans="1:11">
      <c r="C2" s="24"/>
      <c r="D2" s="13"/>
      <c r="E2" s="11"/>
      <c r="F2" s="12"/>
      <c r="G2" s="11"/>
      <c r="H2" s="11"/>
    </row>
    <row r="3" spans="1:11" ht="26.25">
      <c r="C3" s="2"/>
      <c r="D3" s="13"/>
      <c r="E3" s="11"/>
      <c r="F3" s="17"/>
      <c r="G3" s="23" t="s">
        <v>33</v>
      </c>
      <c r="H3" s="11"/>
    </row>
    <row r="4" spans="1:11">
      <c r="A4" s="24">
        <v>1988</v>
      </c>
      <c r="B4" s="24" t="s">
        <v>82</v>
      </c>
      <c r="D4" s="13"/>
      <c r="E4" s="11"/>
      <c r="F4" s="12"/>
      <c r="G4" s="10" t="s">
        <v>36</v>
      </c>
      <c r="H4" s="11" t="s">
        <v>46</v>
      </c>
    </row>
    <row r="5" spans="1:11">
      <c r="A5" s="58" t="s">
        <v>66</v>
      </c>
      <c r="B5" s="58" t="s">
        <v>66</v>
      </c>
      <c r="C5" s="24" t="s">
        <v>83</v>
      </c>
      <c r="D5" s="10"/>
      <c r="E5" s="10" t="s">
        <v>12</v>
      </c>
      <c r="F5" s="10"/>
      <c r="G5" s="11" t="s">
        <v>35</v>
      </c>
      <c r="H5" s="11" t="s">
        <v>47</v>
      </c>
    </row>
    <row r="6" spans="1:11">
      <c r="A6" s="24" t="s">
        <v>60</v>
      </c>
      <c r="B6" s="24" t="s">
        <v>60</v>
      </c>
      <c r="C6" s="24" t="s">
        <v>84</v>
      </c>
      <c r="D6" s="10"/>
      <c r="E6" s="10" t="s">
        <v>1</v>
      </c>
      <c r="F6" s="23"/>
      <c r="G6" s="11" t="s">
        <v>14</v>
      </c>
      <c r="H6" s="57" t="s">
        <v>67</v>
      </c>
    </row>
    <row r="7" spans="1:11">
      <c r="A7" s="44">
        <v>1557384</v>
      </c>
      <c r="B7" s="44">
        <v>1608180</v>
      </c>
      <c r="C7" s="73">
        <f>(B7-A7)/A7</f>
        <v>3.2616233375968931E-2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1991</v>
      </c>
      <c r="I7" s="10" t="s">
        <v>15</v>
      </c>
      <c r="J7" s="10" t="s">
        <v>35</v>
      </c>
    </row>
    <row r="8" spans="1:11">
      <c r="A8" s="44"/>
      <c r="B8" s="44"/>
      <c r="C8" s="44"/>
      <c r="D8" s="27" t="s">
        <v>17</v>
      </c>
      <c r="E8" s="14">
        <v>5</v>
      </c>
      <c r="F8" s="28">
        <v>1.23E-3</v>
      </c>
      <c r="G8" s="34">
        <f t="shared" ref="G8:G15" si="0">F8*$B$20</f>
        <v>164.83844999999999</v>
      </c>
      <c r="H8" s="33">
        <v>165</v>
      </c>
      <c r="I8" s="45">
        <f>E8*H8*12</f>
        <v>9900</v>
      </c>
      <c r="J8" s="40">
        <f t="shared" ref="J8:J15" si="1">H8/$B$20</f>
        <v>1.2312054620751409E-3</v>
      </c>
    </row>
    <row r="9" spans="1:11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34">
        <f t="shared" si="0"/>
        <v>183.60055</v>
      </c>
      <c r="H9" s="33">
        <v>183.5</v>
      </c>
      <c r="I9" s="45">
        <f t="shared" ref="I9:I15" si="2">E9*H9*12</f>
        <v>11010</v>
      </c>
      <c r="J9" s="40">
        <f t="shared" si="1"/>
        <v>1.3692497108532627E-3</v>
      </c>
    </row>
    <row r="10" spans="1:11">
      <c r="A10" s="44">
        <v>98100</v>
      </c>
      <c r="B10" s="44">
        <v>98100</v>
      </c>
      <c r="C10" s="44"/>
      <c r="D10" s="27" t="s">
        <v>19</v>
      </c>
      <c r="E10" s="14">
        <v>131</v>
      </c>
      <c r="F10" s="28">
        <v>1.5100000000000001E-3</v>
      </c>
      <c r="G10" s="34">
        <f t="shared" si="0"/>
        <v>202.36265</v>
      </c>
      <c r="H10" s="33">
        <v>202.5</v>
      </c>
      <c r="I10" s="45">
        <f t="shared" si="2"/>
        <v>318330</v>
      </c>
      <c r="J10" s="40">
        <f t="shared" si="1"/>
        <v>1.5110248852740365E-3</v>
      </c>
    </row>
    <row r="11" spans="1:11">
      <c r="A11" s="17"/>
      <c r="C11" s="20"/>
      <c r="D11" s="27" t="s">
        <v>20</v>
      </c>
      <c r="E11" s="14">
        <v>13</v>
      </c>
      <c r="F11" s="28">
        <v>1.7799999999999999E-3</v>
      </c>
      <c r="G11" s="34">
        <f t="shared" si="0"/>
        <v>238.54669999999999</v>
      </c>
      <c r="H11" s="33">
        <v>238.5</v>
      </c>
      <c r="I11" s="45">
        <f t="shared" si="2"/>
        <v>37206</v>
      </c>
      <c r="J11" s="40">
        <f t="shared" si="1"/>
        <v>1.7796515315449764E-3</v>
      </c>
    </row>
    <row r="12" spans="1:11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34">
        <f t="shared" si="0"/>
        <v>247.92775</v>
      </c>
      <c r="H12" s="33">
        <v>248</v>
      </c>
      <c r="I12" s="45">
        <f t="shared" si="2"/>
        <v>613056</v>
      </c>
      <c r="J12" s="40">
        <f t="shared" si="1"/>
        <v>1.8505391187553632E-3</v>
      </c>
    </row>
    <row r="13" spans="1:11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34">
        <f t="shared" si="0"/>
        <v>270.71030000000002</v>
      </c>
      <c r="H13" s="33">
        <v>270.5</v>
      </c>
      <c r="I13" s="45">
        <f t="shared" si="2"/>
        <v>35706</v>
      </c>
      <c r="J13" s="40">
        <f t="shared" si="1"/>
        <v>2.0184307726747006E-3</v>
      </c>
    </row>
    <row r="14" spans="1:11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34">
        <f t="shared" si="0"/>
        <v>276.07090000000005</v>
      </c>
      <c r="H14" s="33">
        <v>276</v>
      </c>
      <c r="I14" s="45">
        <f t="shared" si="2"/>
        <v>506736</v>
      </c>
      <c r="J14" s="40">
        <f t="shared" si="1"/>
        <v>2.0594709547438719E-3</v>
      </c>
    </row>
    <row r="15" spans="1:11">
      <c r="A15" s="44">
        <f>A7-A10</f>
        <v>1459284</v>
      </c>
      <c r="B15" s="44">
        <f>B7-B10</f>
        <v>1510080</v>
      </c>
      <c r="C15" s="73">
        <f>(B15-A15)/A15</f>
        <v>3.4808851464142691E-2</v>
      </c>
      <c r="D15" s="27" t="s">
        <v>24</v>
      </c>
      <c r="E15" s="14">
        <v>21</v>
      </c>
      <c r="F15" s="28">
        <v>2.2599999999999999E-3</v>
      </c>
      <c r="G15" s="35">
        <f t="shared" si="0"/>
        <v>302.87389999999999</v>
      </c>
      <c r="H15" s="33">
        <v>302.5</v>
      </c>
      <c r="I15" s="56">
        <f t="shared" si="2"/>
        <v>76230</v>
      </c>
      <c r="J15" s="40">
        <f t="shared" si="1"/>
        <v>2.257210013804425E-3</v>
      </c>
    </row>
    <row r="16" spans="1:11">
      <c r="A16" s="44"/>
      <c r="B16" s="44"/>
      <c r="C16" s="44"/>
      <c r="D16" s="31" t="s">
        <v>25</v>
      </c>
      <c r="E16" s="32">
        <f>SUM(E8:E15)</f>
        <v>545</v>
      </c>
      <c r="F16" s="12"/>
      <c r="G16" s="18"/>
      <c r="H16" s="18"/>
      <c r="I16" s="45">
        <f>SUM(I8:I15)</f>
        <v>1608174</v>
      </c>
      <c r="J16" s="45"/>
      <c r="K16" s="45"/>
    </row>
    <row r="17" spans="1:11">
      <c r="A17" s="24" t="s">
        <v>31</v>
      </c>
      <c r="B17" s="24" t="s">
        <v>31</v>
      </c>
      <c r="C17" s="24"/>
      <c r="D17" s="13"/>
      <c r="E17" s="16"/>
      <c r="F17" s="12"/>
      <c r="G17" s="18"/>
      <c r="H17" s="18" t="s">
        <v>63</v>
      </c>
      <c r="I17" s="56">
        <f>$B$7</f>
        <v>1608180</v>
      </c>
      <c r="J17" s="45"/>
      <c r="K17" s="45"/>
    </row>
    <row r="18" spans="1:11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45">
        <f>I16-I17</f>
        <v>-6</v>
      </c>
      <c r="J18" s="45"/>
      <c r="K18" s="45"/>
    </row>
    <row r="19" spans="1:11">
      <c r="A19" s="24" t="s">
        <v>61</v>
      </c>
      <c r="B19" s="24" t="s">
        <v>61</v>
      </c>
      <c r="C19" s="24"/>
    </row>
    <row r="20" spans="1:11">
      <c r="A20" s="44">
        <f>A7/12</f>
        <v>129782</v>
      </c>
      <c r="B20" s="44">
        <f>B7/12</f>
        <v>134015</v>
      </c>
      <c r="C20" s="73">
        <f>(B20-A20)/A20</f>
        <v>3.2616233375968931E-2</v>
      </c>
    </row>
    <row r="21" spans="1:11">
      <c r="A21" s="44"/>
      <c r="B21" s="44"/>
      <c r="C21" s="44"/>
    </row>
    <row r="22" spans="1:11">
      <c r="A22" s="24" t="s">
        <v>31</v>
      </c>
      <c r="B22" s="24" t="s">
        <v>31</v>
      </c>
      <c r="C22" s="24"/>
    </row>
    <row r="23" spans="1:11">
      <c r="A23" s="24" t="s">
        <v>65</v>
      </c>
      <c r="B23" s="24" t="s">
        <v>65</v>
      </c>
      <c r="C23" s="24"/>
    </row>
    <row r="24" spans="1:11">
      <c r="A24" s="24" t="s">
        <v>61</v>
      </c>
      <c r="B24" s="24" t="s">
        <v>61</v>
      </c>
      <c r="C24" s="24"/>
    </row>
    <row r="25" spans="1:11">
      <c r="A25" s="44">
        <f>A15/12</f>
        <v>121607</v>
      </c>
      <c r="B25" s="44">
        <f>B15/12</f>
        <v>125840</v>
      </c>
      <c r="C25" s="73">
        <f>(B25-A25)/A25</f>
        <v>3.4808851464142691E-2</v>
      </c>
    </row>
    <row r="26" spans="1:11">
      <c r="A26" s="17"/>
      <c r="C26" s="24"/>
    </row>
    <row r="27" spans="1:11">
      <c r="A27" s="24" t="s">
        <v>61</v>
      </c>
      <c r="C27" s="20"/>
    </row>
    <row r="28" spans="1:11">
      <c r="A28" s="20" t="s">
        <v>73</v>
      </c>
    </row>
    <row r="29" spans="1:11">
      <c r="A29" s="75" t="s">
        <v>74</v>
      </c>
    </row>
    <row r="37" spans="3:3">
      <c r="C37" s="3"/>
    </row>
    <row r="38" spans="3:3">
      <c r="C38" s="3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36"/>
  <sheetViews>
    <sheetView showGridLines="0" workbookViewId="0">
      <selection activeCell="T8" sqref="T8:U15"/>
    </sheetView>
  </sheetViews>
  <sheetFormatPr defaultColWidth="14.5703125" defaultRowHeight="15"/>
  <cols>
    <col min="4" max="4" width="10.42578125" customWidth="1"/>
    <col min="5" max="5" width="9.5703125" bestFit="1" customWidth="1"/>
    <col min="6" max="6" width="11.140625" customWidth="1"/>
    <col min="7" max="7" width="4.5703125" customWidth="1"/>
    <col min="8" max="8" width="7.7109375" customWidth="1"/>
    <col min="9" max="9" width="10.140625" bestFit="1" customWidth="1"/>
    <col min="10" max="10" width="9.5703125" bestFit="1" customWidth="1"/>
    <col min="11" max="11" width="6.85546875" bestFit="1" customWidth="1"/>
    <col min="12" max="12" width="10.140625" bestFit="1" customWidth="1"/>
    <col min="13" max="13" width="9.5703125" bestFit="1" customWidth="1"/>
    <col min="14" max="14" width="7" bestFit="1" customWidth="1"/>
    <col min="15" max="15" width="7" customWidth="1"/>
    <col min="16" max="16" width="10.7109375" customWidth="1"/>
    <col min="17" max="17" width="5.5703125" customWidth="1"/>
    <col min="18" max="18" width="7" customWidth="1"/>
    <col min="19" max="19" width="5.5703125" customWidth="1"/>
    <col min="20" max="20" width="14.140625" style="3" customWidth="1"/>
    <col min="21" max="21" width="8.5703125" bestFit="1" customWidth="1"/>
    <col min="22" max="22" width="4.42578125" bestFit="1" customWidth="1"/>
  </cols>
  <sheetData>
    <row r="1" spans="1:23" ht="21">
      <c r="A1" s="104" t="s">
        <v>112</v>
      </c>
      <c r="B1" s="104"/>
      <c r="C1" s="104"/>
      <c r="L1" s="104"/>
      <c r="M1" s="104"/>
      <c r="N1" s="104"/>
      <c r="O1" s="104"/>
      <c r="P1" s="104"/>
    </row>
    <row r="2" spans="1:23" ht="21">
      <c r="A2" s="104" t="s">
        <v>118</v>
      </c>
      <c r="B2" s="104"/>
      <c r="C2" s="104"/>
      <c r="L2" s="70"/>
      <c r="M2" s="70"/>
      <c r="N2" s="70"/>
      <c r="O2" s="70"/>
      <c r="P2" s="70"/>
      <c r="Q2" s="70"/>
      <c r="R2" s="70"/>
      <c r="S2" s="70"/>
      <c r="T2" s="86"/>
    </row>
    <row r="4" spans="1:23" ht="26.25">
      <c r="A4" s="97">
        <v>2013</v>
      </c>
      <c r="B4" s="97">
        <v>2014</v>
      </c>
      <c r="C4" s="98"/>
      <c r="D4" s="13"/>
      <c r="E4" s="11"/>
      <c r="F4" s="12"/>
      <c r="G4" s="10" t="s">
        <v>36</v>
      </c>
      <c r="H4" s="11"/>
      <c r="K4" s="97" t="s">
        <v>34</v>
      </c>
      <c r="Q4" s="111" t="s">
        <v>106</v>
      </c>
      <c r="S4" s="111" t="s">
        <v>109</v>
      </c>
      <c r="T4" s="86"/>
      <c r="U4" s="70"/>
      <c r="V4" s="70"/>
      <c r="W4" s="70"/>
    </row>
    <row r="5" spans="1:23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/>
      <c r="K5" s="10" t="s">
        <v>35</v>
      </c>
      <c r="N5" s="10"/>
      <c r="O5" s="10"/>
      <c r="P5" s="10"/>
      <c r="Q5" s="112">
        <v>2013</v>
      </c>
      <c r="R5" s="10"/>
      <c r="S5" s="112">
        <v>2013</v>
      </c>
    </row>
    <row r="6" spans="1:23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57" t="s">
        <v>67</v>
      </c>
      <c r="I6" s="24" t="s">
        <v>36</v>
      </c>
      <c r="J6" s="24" t="s">
        <v>36</v>
      </c>
      <c r="K6" s="10" t="s">
        <v>14</v>
      </c>
      <c r="L6" s="24" t="s">
        <v>105</v>
      </c>
      <c r="M6" s="24" t="s">
        <v>105</v>
      </c>
      <c r="N6" s="111" t="s">
        <v>106</v>
      </c>
      <c r="O6" s="111" t="s">
        <v>106</v>
      </c>
      <c r="P6" s="111"/>
      <c r="Q6" s="10" t="s">
        <v>108</v>
      </c>
      <c r="R6" s="111" t="s">
        <v>109</v>
      </c>
      <c r="S6" s="10" t="s">
        <v>108</v>
      </c>
    </row>
    <row r="7" spans="1:23" ht="15.75">
      <c r="A7" s="44">
        <v>2857632</v>
      </c>
      <c r="B7" s="44">
        <v>3131313</v>
      </c>
      <c r="C7" s="73">
        <f>(B7-A7)/A7</f>
        <v>9.5771953841502333E-2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2014</v>
      </c>
      <c r="I7" s="10" t="s">
        <v>15</v>
      </c>
      <c r="J7" s="10" t="s">
        <v>35</v>
      </c>
      <c r="K7" s="10" t="s">
        <v>32</v>
      </c>
      <c r="L7" s="10" t="s">
        <v>15</v>
      </c>
      <c r="M7" s="10" t="s">
        <v>35</v>
      </c>
      <c r="N7" s="10">
        <v>2013</v>
      </c>
      <c r="O7" s="10">
        <v>2014</v>
      </c>
      <c r="P7" s="10"/>
      <c r="Q7" s="10">
        <v>2014</v>
      </c>
      <c r="R7" s="10">
        <v>2013</v>
      </c>
      <c r="S7" s="10">
        <v>2014</v>
      </c>
    </row>
    <row r="8" spans="1:23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 t="shared" ref="G8:G15" si="0">F8*$B$20</f>
        <v>320.95958250000001</v>
      </c>
      <c r="H8" s="14">
        <v>316</v>
      </c>
      <c r="I8" s="36">
        <f>E8*H8*12</f>
        <v>18960</v>
      </c>
      <c r="J8" s="66">
        <f t="shared" ref="J8:J15" si="1">H8/($I$16/12)</f>
        <v>1.210704775770579E-3</v>
      </c>
      <c r="K8" s="29">
        <f t="shared" ref="K8:K15" si="2">F8*$B$25+$B$28</f>
        <v>327.55258249999997</v>
      </c>
      <c r="L8" s="36">
        <f>E8*K8*12</f>
        <v>19653.154949999996</v>
      </c>
      <c r="M8" s="66">
        <f t="shared" ref="M8:M15" si="3">K8/($I$16/12)</f>
        <v>1.2549666960403056E-3</v>
      </c>
      <c r="N8" s="16">
        <v>282</v>
      </c>
      <c r="O8" s="16">
        <f>H8-20</f>
        <v>296</v>
      </c>
      <c r="P8" s="18">
        <f>O8/($B$15/12)</f>
        <v>1.1837975706154248E-3</v>
      </c>
      <c r="Q8" s="113">
        <f>(O8-N8)/N8</f>
        <v>4.9645390070921988E-2</v>
      </c>
      <c r="R8" s="16">
        <f>N8+20</f>
        <v>302</v>
      </c>
      <c r="S8" s="113">
        <f>(H8-R8)/R8</f>
        <v>4.6357615894039736E-2</v>
      </c>
      <c r="T8" s="11">
        <v>5.9179999999999996E-3</v>
      </c>
      <c r="U8" s="40">
        <f>T8/E8</f>
        <v>1.1835999999999999E-3</v>
      </c>
    </row>
    <row r="9" spans="1:23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si="0"/>
        <v>357.49156749999997</v>
      </c>
      <c r="H9" s="14">
        <v>355</v>
      </c>
      <c r="I9" s="36">
        <f t="shared" ref="I9:I15" si="4">E9*H9*12</f>
        <v>21300</v>
      </c>
      <c r="J9" s="66">
        <f t="shared" si="1"/>
        <v>1.3601272006283404E-3</v>
      </c>
      <c r="K9" s="29">
        <f t="shared" si="2"/>
        <v>362.55856749999998</v>
      </c>
      <c r="L9" s="36">
        <f t="shared" ref="L9:L15" si="5">E9*K9*12</f>
        <v>21753.514049999998</v>
      </c>
      <c r="M9" s="66">
        <f t="shared" si="3"/>
        <v>1.3890866745847779E-3</v>
      </c>
      <c r="N9" s="16">
        <v>319</v>
      </c>
      <c r="O9" s="16">
        <f t="shared" ref="O9:O15" si="6">H9-20</f>
        <v>335</v>
      </c>
      <c r="P9" s="18">
        <f t="shared" ref="P9:P15" si="7">O9/($B$15/12)</f>
        <v>1.339770899176241E-3</v>
      </c>
      <c r="Q9" s="113">
        <f t="shared" ref="Q9:Q15" si="8">(O9-N9)/N9</f>
        <v>5.0156739811912224E-2</v>
      </c>
      <c r="R9" s="16">
        <f t="shared" ref="R9:R15" si="9">N9+20</f>
        <v>339</v>
      </c>
      <c r="S9" s="113">
        <f t="shared" ref="S9:S15" si="10">(H9-R9)/R9</f>
        <v>4.71976401179941E-2</v>
      </c>
      <c r="T9" s="20">
        <v>6.6969999999999998E-3</v>
      </c>
      <c r="U9" s="40">
        <f t="shared" ref="U9:U15" si="11">T9/E9</f>
        <v>1.3393999999999999E-3</v>
      </c>
    </row>
    <row r="10" spans="1:23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0"/>
        <v>394.02355249999999</v>
      </c>
      <c r="H10" s="14">
        <v>391</v>
      </c>
      <c r="I10" s="36">
        <f t="shared" si="4"/>
        <v>614652</v>
      </c>
      <c r="J10" s="66">
        <f t="shared" si="1"/>
        <v>1.4980555928047355E-3</v>
      </c>
      <c r="K10" s="29">
        <f t="shared" si="2"/>
        <v>397.56455249999999</v>
      </c>
      <c r="L10" s="36">
        <f t="shared" si="5"/>
        <v>624971.47652999999</v>
      </c>
      <c r="M10" s="66">
        <f t="shared" si="3"/>
        <v>1.5232066531292504E-3</v>
      </c>
      <c r="N10" s="16">
        <v>353</v>
      </c>
      <c r="O10" s="16">
        <f t="shared" si="6"/>
        <v>371</v>
      </c>
      <c r="P10" s="18">
        <f t="shared" si="7"/>
        <v>1.4837462793862249E-3</v>
      </c>
      <c r="Q10" s="113">
        <f t="shared" si="8"/>
        <v>5.0991501416430593E-2</v>
      </c>
      <c r="R10" s="16">
        <f t="shared" si="9"/>
        <v>373</v>
      </c>
      <c r="S10" s="113">
        <f t="shared" si="10"/>
        <v>4.8257372654155493E-2</v>
      </c>
      <c r="T10" s="20">
        <v>0.19432199999999999</v>
      </c>
      <c r="U10" s="40">
        <f t="shared" si="11"/>
        <v>1.4833740458015266E-3</v>
      </c>
    </row>
    <row r="11" spans="1:23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0"/>
        <v>464.478095</v>
      </c>
      <c r="H11" s="14">
        <v>467</v>
      </c>
      <c r="I11" s="36">
        <f t="shared" si="4"/>
        <v>72852</v>
      </c>
      <c r="J11" s="66">
        <f t="shared" si="1"/>
        <v>1.789237754066014E-3</v>
      </c>
      <c r="K11" s="29">
        <f t="shared" si="2"/>
        <v>465.07609499999995</v>
      </c>
      <c r="L11" s="36">
        <f t="shared" si="5"/>
        <v>72551.870819999982</v>
      </c>
      <c r="M11" s="66">
        <f t="shared" si="3"/>
        <v>1.7818666117507325E-3</v>
      </c>
      <c r="N11" s="16">
        <v>426</v>
      </c>
      <c r="O11" s="16">
        <f t="shared" si="6"/>
        <v>447</v>
      </c>
      <c r="P11" s="18">
        <f t="shared" si="7"/>
        <v>1.7876943042739691E-3</v>
      </c>
      <c r="Q11" s="113">
        <f t="shared" si="8"/>
        <v>4.9295774647887321E-2</v>
      </c>
      <c r="R11" s="16">
        <f t="shared" si="9"/>
        <v>446</v>
      </c>
      <c r="S11" s="113">
        <f t="shared" si="10"/>
        <v>4.708520179372197E-2</v>
      </c>
      <c r="T11" s="20">
        <v>2.3234000000000001E-2</v>
      </c>
      <c r="U11" s="40">
        <f t="shared" si="11"/>
        <v>1.7872307692307693E-3</v>
      </c>
    </row>
    <row r="12" spans="1:23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0"/>
        <v>482.74408750000003</v>
      </c>
      <c r="H12" s="14">
        <v>482</v>
      </c>
      <c r="I12" s="36">
        <f t="shared" si="4"/>
        <v>1191504</v>
      </c>
      <c r="J12" s="66">
        <f t="shared" si="1"/>
        <v>1.8467079174728453E-3</v>
      </c>
      <c r="K12" s="29">
        <f t="shared" si="2"/>
        <v>482.57908750000001</v>
      </c>
      <c r="L12" s="36">
        <f t="shared" si="5"/>
        <v>1192935.5043000001</v>
      </c>
      <c r="M12" s="66">
        <f t="shared" si="3"/>
        <v>1.8489266010229689E-3</v>
      </c>
      <c r="N12" s="16">
        <v>440</v>
      </c>
      <c r="O12" s="16">
        <f t="shared" si="6"/>
        <v>462</v>
      </c>
      <c r="P12" s="18">
        <f t="shared" si="7"/>
        <v>1.8476840460281293E-3</v>
      </c>
      <c r="Q12" s="113">
        <f t="shared" si="8"/>
        <v>0.05</v>
      </c>
      <c r="R12" s="16">
        <f t="shared" si="9"/>
        <v>460</v>
      </c>
      <c r="S12" s="113">
        <f t="shared" si="10"/>
        <v>4.7826086956521741E-2</v>
      </c>
      <c r="T12" s="20">
        <v>0.38052799999999998</v>
      </c>
      <c r="U12" s="40">
        <f t="shared" si="11"/>
        <v>1.8472233009708737E-3</v>
      </c>
    </row>
    <row r="13" spans="1:23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0"/>
        <v>527.10435500000006</v>
      </c>
      <c r="H13" s="14">
        <v>529</v>
      </c>
      <c r="I13" s="36">
        <f t="shared" si="4"/>
        <v>69828</v>
      </c>
      <c r="J13" s="66">
        <f t="shared" si="1"/>
        <v>2.0267810961475835E-3</v>
      </c>
      <c r="K13" s="29">
        <f t="shared" si="2"/>
        <v>525.08635500000003</v>
      </c>
      <c r="L13" s="36">
        <f t="shared" si="5"/>
        <v>69311.398860000001</v>
      </c>
      <c r="M13" s="66">
        <f t="shared" si="3"/>
        <v>2.0117865749698285E-3</v>
      </c>
      <c r="N13" s="16">
        <v>485</v>
      </c>
      <c r="O13" s="16">
        <f t="shared" si="6"/>
        <v>509</v>
      </c>
      <c r="P13" s="18">
        <f t="shared" si="7"/>
        <v>2.0356519035244973E-3</v>
      </c>
      <c r="Q13" s="113">
        <f t="shared" si="8"/>
        <v>4.9484536082474224E-2</v>
      </c>
      <c r="R13" s="16">
        <f t="shared" si="9"/>
        <v>505</v>
      </c>
      <c r="S13" s="113">
        <f t="shared" si="10"/>
        <v>4.7524752475247525E-2</v>
      </c>
      <c r="T13" s="20">
        <v>2.2387000000000001E-2</v>
      </c>
      <c r="U13" s="40">
        <f t="shared" si="11"/>
        <v>2.0351818181818184E-3</v>
      </c>
    </row>
    <row r="14" spans="1:23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0"/>
        <v>537.54206500000009</v>
      </c>
      <c r="H14" s="14">
        <v>541</v>
      </c>
      <c r="I14" s="36">
        <f t="shared" si="4"/>
        <v>993276</v>
      </c>
      <c r="J14" s="66">
        <f t="shared" si="1"/>
        <v>2.0727572268730483E-3</v>
      </c>
      <c r="K14" s="29">
        <f t="shared" si="2"/>
        <v>535.08806500000003</v>
      </c>
      <c r="L14" s="36">
        <f t="shared" si="5"/>
        <v>982421.68734000006</v>
      </c>
      <c r="M14" s="66">
        <f t="shared" si="3"/>
        <v>2.0501065688396775E-3</v>
      </c>
      <c r="N14" s="16">
        <v>496</v>
      </c>
      <c r="O14" s="16">
        <f t="shared" si="6"/>
        <v>521</v>
      </c>
      <c r="P14" s="18">
        <f t="shared" si="7"/>
        <v>2.0836436969278254E-3</v>
      </c>
      <c r="Q14" s="113">
        <f t="shared" si="8"/>
        <v>5.040322580645161E-2</v>
      </c>
      <c r="R14" s="16">
        <f t="shared" si="9"/>
        <v>516</v>
      </c>
      <c r="S14" s="113">
        <f t="shared" si="10"/>
        <v>4.8449612403100778E-2</v>
      </c>
      <c r="T14" s="20">
        <v>0.318718</v>
      </c>
      <c r="U14" s="40">
        <f t="shared" si="11"/>
        <v>2.0831241830065361E-3</v>
      </c>
    </row>
    <row r="15" spans="1:23" ht="15.75">
      <c r="A15" s="44">
        <f>A7-A10</f>
        <v>2726832</v>
      </c>
      <c r="B15" s="44">
        <f>B7-B10</f>
        <v>3000513</v>
      </c>
      <c r="C15" s="73">
        <f>(B15-A15)/A15</f>
        <v>0.10036591913253182</v>
      </c>
      <c r="D15" s="27" t="s">
        <v>24</v>
      </c>
      <c r="E15" s="14">
        <v>21</v>
      </c>
      <c r="F15" s="28">
        <v>2.2599999999999999E-3</v>
      </c>
      <c r="G15" s="14">
        <f t="shared" si="0"/>
        <v>589.73061499999994</v>
      </c>
      <c r="H15" s="14">
        <v>594</v>
      </c>
      <c r="I15" s="67">
        <f t="shared" si="4"/>
        <v>149688</v>
      </c>
      <c r="J15" s="66">
        <f t="shared" si="1"/>
        <v>2.2758184709105191E-3</v>
      </c>
      <c r="K15" s="29">
        <f t="shared" si="2"/>
        <v>585.09661499999993</v>
      </c>
      <c r="L15" s="36">
        <f t="shared" si="5"/>
        <v>147444.34697999997</v>
      </c>
      <c r="M15" s="66">
        <f t="shared" si="3"/>
        <v>2.2417065381889231E-3</v>
      </c>
      <c r="N15" s="16">
        <v>547</v>
      </c>
      <c r="O15" s="16">
        <f t="shared" si="6"/>
        <v>574</v>
      </c>
      <c r="P15" s="18">
        <f t="shared" si="7"/>
        <v>2.2956074511258574E-3</v>
      </c>
      <c r="Q15" s="113">
        <f t="shared" si="8"/>
        <v>4.9360146252285193E-2</v>
      </c>
      <c r="R15" s="16">
        <f t="shared" si="9"/>
        <v>567</v>
      </c>
      <c r="S15" s="113">
        <f t="shared" si="10"/>
        <v>4.7619047619047616E-2</v>
      </c>
      <c r="T15" s="20">
        <v>4.8196000000000003E-2</v>
      </c>
      <c r="U15" s="40">
        <f t="shared" si="11"/>
        <v>2.2950476190476193E-3</v>
      </c>
    </row>
    <row r="16" spans="1:23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3132060</v>
      </c>
      <c r="J16" s="36"/>
      <c r="L16" s="36">
        <f>SUM(L8:L15)</f>
        <v>3131042.95383</v>
      </c>
      <c r="O16" s="44"/>
      <c r="P16" s="44"/>
      <c r="R16" s="3"/>
    </row>
    <row r="17" spans="1:18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3131313</v>
      </c>
      <c r="J17" s="11"/>
      <c r="L17" s="72">
        <f>B7</f>
        <v>3131313</v>
      </c>
      <c r="O17" s="107"/>
      <c r="P17" s="107"/>
      <c r="R17" s="3"/>
    </row>
    <row r="18" spans="1:18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747</v>
      </c>
      <c r="J18" s="18"/>
      <c r="L18" s="39">
        <f>L16-L17</f>
        <v>-270.04616999998689</v>
      </c>
      <c r="O18" s="16"/>
      <c r="P18" s="16"/>
      <c r="R18" s="3"/>
    </row>
    <row r="19" spans="1:18" ht="15.75">
      <c r="A19" s="24" t="s">
        <v>61</v>
      </c>
      <c r="B19" s="24" t="s">
        <v>61</v>
      </c>
      <c r="C19" s="24"/>
    </row>
    <row r="20" spans="1:18" ht="21">
      <c r="A20" s="44">
        <f>A7/12</f>
        <v>238136</v>
      </c>
      <c r="B20" s="44">
        <f>B7/12</f>
        <v>260942.75</v>
      </c>
      <c r="C20" s="73">
        <f>(B20-A20)/A20</f>
        <v>9.5771953841502333E-2</v>
      </c>
      <c r="D20" s="104" t="s">
        <v>120</v>
      </c>
      <c r="E20" s="104"/>
      <c r="F20" s="104"/>
      <c r="G20" s="104"/>
      <c r="H20" s="104"/>
      <c r="I20" s="104"/>
      <c r="J20" s="104"/>
      <c r="K20" s="104"/>
    </row>
    <row r="21" spans="1:18" ht="21">
      <c r="A21" s="44"/>
      <c r="B21" s="44"/>
      <c r="C21" s="44"/>
      <c r="D21" s="104" t="s">
        <v>119</v>
      </c>
      <c r="E21" s="104"/>
      <c r="F21" s="104"/>
      <c r="G21" s="104"/>
      <c r="H21" s="104"/>
      <c r="I21" s="104"/>
      <c r="J21" s="104"/>
      <c r="K21" s="104"/>
    </row>
    <row r="22" spans="1:18" ht="15.75">
      <c r="A22" s="24" t="s">
        <v>31</v>
      </c>
      <c r="B22" s="24" t="s">
        <v>31</v>
      </c>
      <c r="C22" s="24"/>
    </row>
    <row r="23" spans="1:18" ht="15.75">
      <c r="A23" s="24" t="s">
        <v>65</v>
      </c>
      <c r="B23" s="24" t="s">
        <v>65</v>
      </c>
      <c r="C23" s="24"/>
    </row>
    <row r="24" spans="1:18" ht="15.75">
      <c r="A24" s="24" t="s">
        <v>61</v>
      </c>
      <c r="B24" s="24" t="s">
        <v>61</v>
      </c>
      <c r="C24" s="24"/>
      <c r="D24" s="10"/>
      <c r="E24" s="135">
        <f>3552/3000513</f>
        <v>1.1837975706154248E-3</v>
      </c>
      <c r="F24" s="10"/>
      <c r="G24" s="10"/>
      <c r="H24" s="10"/>
      <c r="I24" s="10"/>
      <c r="J24" s="10"/>
      <c r="K24" s="10"/>
      <c r="L24" s="10"/>
      <c r="M24" s="17"/>
      <c r="N24" s="17"/>
    </row>
    <row r="25" spans="1:18" ht="15.75">
      <c r="A25" s="44">
        <f>A15/12</f>
        <v>227236</v>
      </c>
      <c r="B25" s="44">
        <f>B15/12</f>
        <v>250042.75</v>
      </c>
      <c r="C25" s="73">
        <f>(B25-A25)/A25</f>
        <v>0.10036591913253182</v>
      </c>
      <c r="D25" s="10"/>
      <c r="E25" s="10"/>
      <c r="F25" s="13"/>
      <c r="G25" s="10"/>
      <c r="H25" s="10"/>
      <c r="I25" s="10"/>
      <c r="J25" s="10"/>
      <c r="K25" s="10"/>
      <c r="L25" s="10"/>
      <c r="M25" s="17"/>
      <c r="N25" s="17"/>
    </row>
    <row r="26" spans="1:18" ht="15.75">
      <c r="A26" s="20"/>
      <c r="B26" s="20"/>
      <c r="C26" s="2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</row>
    <row r="27" spans="1:18" ht="15.75">
      <c r="A27" s="24" t="s">
        <v>61</v>
      </c>
      <c r="B27" s="24" t="s">
        <v>61</v>
      </c>
      <c r="C27" s="24"/>
      <c r="D27" s="13"/>
      <c r="E27" s="86"/>
      <c r="F27" s="105"/>
      <c r="G27" s="18"/>
      <c r="H27" s="16"/>
      <c r="I27" s="16"/>
      <c r="J27" s="86"/>
      <c r="K27" s="86"/>
      <c r="L27" s="86"/>
      <c r="M27" s="86"/>
      <c r="N27" s="11"/>
      <c r="Q27" s="21"/>
    </row>
    <row r="28" spans="1:18" ht="15.75">
      <c r="A28" s="20">
        <v>20</v>
      </c>
      <c r="B28" s="20">
        <v>20</v>
      </c>
      <c r="C28" s="20"/>
      <c r="D28" s="13"/>
      <c r="E28" s="86"/>
      <c r="F28" s="105"/>
      <c r="G28" s="18"/>
      <c r="H28" s="16"/>
      <c r="I28" s="16"/>
      <c r="J28" s="86"/>
      <c r="K28" s="86"/>
      <c r="L28" s="86"/>
      <c r="M28" s="86"/>
      <c r="N28" s="11"/>
      <c r="Q28" s="21"/>
    </row>
    <row r="29" spans="1:18" ht="15.75">
      <c r="D29" s="13"/>
      <c r="E29" s="86"/>
      <c r="F29" s="105"/>
      <c r="G29" s="18"/>
      <c r="H29" s="16"/>
      <c r="I29" s="16"/>
      <c r="J29" s="86"/>
      <c r="K29" s="86"/>
      <c r="L29" s="86"/>
      <c r="M29" s="86"/>
      <c r="N29" s="11"/>
      <c r="Q29" s="21"/>
    </row>
    <row r="30" spans="1:18" ht="15.75">
      <c r="B30" s="36"/>
      <c r="D30" s="13"/>
      <c r="E30" s="86"/>
      <c r="F30" s="105"/>
      <c r="G30" s="18"/>
      <c r="H30" s="16"/>
      <c r="I30" s="16"/>
      <c r="J30" s="86"/>
      <c r="K30" s="86"/>
      <c r="L30" s="86"/>
      <c r="M30" s="86"/>
      <c r="N30" s="11"/>
      <c r="Q30" s="21"/>
    </row>
    <row r="31" spans="1:18" ht="15.75">
      <c r="D31" s="13"/>
      <c r="E31" s="86"/>
      <c r="F31" s="105"/>
      <c r="G31" s="18"/>
      <c r="H31" s="16"/>
      <c r="I31" s="16"/>
      <c r="J31" s="86"/>
      <c r="K31" s="86"/>
      <c r="L31" s="86"/>
      <c r="M31" s="86"/>
      <c r="N31" s="11"/>
      <c r="Q31" s="21"/>
    </row>
    <row r="32" spans="1:18" ht="15.75">
      <c r="D32" s="13"/>
      <c r="E32" s="86"/>
      <c r="F32" s="105"/>
      <c r="G32" s="18"/>
      <c r="H32" s="16"/>
      <c r="I32" s="16"/>
      <c r="J32" s="86"/>
      <c r="K32" s="86"/>
      <c r="L32" s="86"/>
      <c r="M32" s="86"/>
      <c r="N32" s="11"/>
      <c r="Q32" s="21"/>
    </row>
    <row r="33" spans="4:17" ht="15.75">
      <c r="D33" s="13"/>
      <c r="E33" s="86"/>
      <c r="F33" s="105"/>
      <c r="G33" s="18"/>
      <c r="H33" s="16"/>
      <c r="I33" s="16"/>
      <c r="J33" s="86"/>
      <c r="K33" s="86"/>
      <c r="L33" s="86"/>
      <c r="M33" s="86"/>
      <c r="N33" s="11"/>
      <c r="Q33" s="21"/>
    </row>
    <row r="34" spans="4:17" ht="15.75">
      <c r="D34" s="13"/>
      <c r="E34" s="86"/>
      <c r="F34" s="105"/>
      <c r="G34" s="18"/>
      <c r="H34" s="16"/>
      <c r="I34" s="16"/>
      <c r="J34" s="86"/>
      <c r="K34" s="86"/>
      <c r="L34" s="86"/>
      <c r="M34" s="86"/>
      <c r="N34" s="11"/>
      <c r="Q34" s="21"/>
    </row>
    <row r="35" spans="4:17" ht="15.75">
      <c r="D35" s="13"/>
      <c r="E35" s="16"/>
      <c r="F35" s="12"/>
      <c r="G35" s="18"/>
      <c r="H35" s="18"/>
      <c r="I35" s="18"/>
      <c r="J35" s="18"/>
      <c r="K35" s="18"/>
      <c r="L35" s="18"/>
      <c r="M35" s="16"/>
      <c r="N35" s="19"/>
    </row>
    <row r="36" spans="4:17" ht="15.75">
      <c r="D36" s="13"/>
      <c r="E36" s="16"/>
      <c r="F36" s="12"/>
      <c r="G36" s="18"/>
      <c r="H36" s="18"/>
      <c r="I36" s="18"/>
      <c r="J36" s="18"/>
      <c r="K36" s="18"/>
      <c r="L36" s="18"/>
      <c r="M36" s="16"/>
      <c r="N36" s="19"/>
    </row>
  </sheetData>
  <pageMargins left="0.7" right="0.7" top="0.75" bottom="0.75" header="0.3" footer="0.3"/>
  <pageSetup orientation="portrait" horizontalDpi="0" verticalDpi="0" r:id="rId1"/>
  <ignoredErrors>
    <ignoredError sqref="Q4 N6:O6 S4 R6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U45"/>
  <sheetViews>
    <sheetView showGridLines="0" topLeftCell="C37" workbookViewId="0">
      <selection activeCell="K4" sqref="K4"/>
    </sheetView>
  </sheetViews>
  <sheetFormatPr defaultRowHeight="15"/>
  <cols>
    <col min="1" max="2" width="12.140625" bestFit="1" customWidth="1"/>
    <col min="3" max="3" width="8.42578125" customWidth="1"/>
    <col min="4" max="4" width="10.42578125" style="3" bestFit="1" customWidth="1"/>
    <col min="5" max="5" width="8.28515625" style="3" bestFit="1" customWidth="1"/>
    <col min="6" max="6" width="11.140625" style="3" bestFit="1" customWidth="1"/>
    <col min="7" max="7" width="8.5703125" bestFit="1" customWidth="1"/>
    <col min="8" max="8" width="8.7109375" bestFit="1" customWidth="1"/>
    <col min="9" max="9" width="10.140625" bestFit="1" customWidth="1"/>
    <col min="10" max="10" width="9.5703125" bestFit="1" customWidth="1"/>
    <col min="11" max="12" width="10.5703125" customWidth="1"/>
    <col min="13" max="13" width="6.85546875" bestFit="1" customWidth="1"/>
    <col min="14" max="14" width="10.140625" bestFit="1" customWidth="1"/>
    <col min="15" max="15" width="9.5703125" bestFit="1" customWidth="1"/>
    <col min="16" max="16" width="7" bestFit="1" customWidth="1"/>
    <col min="17" max="17" width="8" bestFit="1" customWidth="1"/>
    <col min="18" max="18" width="5.5703125" bestFit="1" customWidth="1"/>
    <col min="19" max="19" width="7" bestFit="1" customWidth="1"/>
    <col min="20" max="20" width="5.5703125" bestFit="1" customWidth="1"/>
    <col min="21" max="21" width="13.7109375" bestFit="1" customWidth="1"/>
  </cols>
  <sheetData>
    <row r="2" spans="1:21">
      <c r="U2" t="s">
        <v>28</v>
      </c>
    </row>
    <row r="3" spans="1:21">
      <c r="U3" t="s">
        <v>29</v>
      </c>
    </row>
    <row r="4" spans="1:21" ht="26.25">
      <c r="A4" s="97">
        <v>2016</v>
      </c>
      <c r="B4" s="97">
        <v>2017</v>
      </c>
      <c r="C4" s="98"/>
      <c r="D4" s="13"/>
      <c r="E4" s="11"/>
      <c r="F4" s="12"/>
      <c r="G4" s="10" t="s">
        <v>36</v>
      </c>
      <c r="H4" s="11"/>
      <c r="I4" s="17"/>
      <c r="J4" s="17"/>
      <c r="K4" s="17"/>
      <c r="L4" s="17"/>
      <c r="M4" s="97" t="s">
        <v>34</v>
      </c>
      <c r="N4" s="17"/>
      <c r="O4" s="17"/>
      <c r="P4" s="118"/>
      <c r="Q4" s="118"/>
      <c r="R4" s="111" t="s">
        <v>106</v>
      </c>
      <c r="S4" s="111"/>
      <c r="T4" s="111" t="s">
        <v>109</v>
      </c>
    </row>
    <row r="5" spans="1:21" ht="15.75">
      <c r="A5" s="24" t="s">
        <v>66</v>
      </c>
      <c r="B5" s="24" t="s">
        <v>66</v>
      </c>
      <c r="C5" s="24" t="s">
        <v>35</v>
      </c>
      <c r="D5" s="10"/>
      <c r="E5" s="10" t="s">
        <v>12</v>
      </c>
      <c r="F5" s="10"/>
      <c r="G5" s="11" t="s">
        <v>35</v>
      </c>
      <c r="H5" s="11"/>
      <c r="I5" s="17"/>
      <c r="J5" s="17"/>
      <c r="K5" s="17"/>
      <c r="L5" s="17"/>
      <c r="M5" s="10" t="s">
        <v>35</v>
      </c>
      <c r="N5" s="17"/>
      <c r="O5" s="17"/>
      <c r="P5" s="114"/>
      <c r="Q5" s="114"/>
      <c r="R5" s="115">
        <v>2016</v>
      </c>
      <c r="S5" s="114"/>
      <c r="T5" s="115" t="s">
        <v>113</v>
      </c>
    </row>
    <row r="6" spans="1:21" ht="15.75">
      <c r="A6" s="24" t="s">
        <v>60</v>
      </c>
      <c r="B6" s="24" t="s">
        <v>60</v>
      </c>
      <c r="C6" s="77" t="s">
        <v>77</v>
      </c>
      <c r="D6" s="10"/>
      <c r="E6" s="10" t="s">
        <v>1</v>
      </c>
      <c r="F6" s="23"/>
      <c r="G6" s="11" t="s">
        <v>14</v>
      </c>
      <c r="H6" s="11" t="s">
        <v>67</v>
      </c>
      <c r="I6" s="24" t="s">
        <v>36</v>
      </c>
      <c r="J6" s="24" t="s">
        <v>36</v>
      </c>
      <c r="K6" s="24"/>
      <c r="L6" s="24"/>
      <c r="M6" s="10" t="s">
        <v>14</v>
      </c>
      <c r="N6" s="24" t="s">
        <v>105</v>
      </c>
      <c r="O6" s="24" t="s">
        <v>105</v>
      </c>
      <c r="P6" s="111" t="s">
        <v>106</v>
      </c>
      <c r="Q6" s="111" t="s">
        <v>106</v>
      </c>
      <c r="R6" s="114" t="s">
        <v>108</v>
      </c>
      <c r="S6" s="114" t="s">
        <v>109</v>
      </c>
      <c r="T6" s="114" t="s">
        <v>108</v>
      </c>
    </row>
    <row r="7" spans="1:21" ht="15.75">
      <c r="A7" s="94">
        <v>3120391</v>
      </c>
      <c r="B7" s="94">
        <v>3026488</v>
      </c>
      <c r="C7" s="73">
        <f>(B7-A7)/A7</f>
        <v>-3.0093344071303884E-2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2017</v>
      </c>
      <c r="I7" s="10" t="s">
        <v>15</v>
      </c>
      <c r="J7" s="10" t="s">
        <v>35</v>
      </c>
      <c r="K7" s="10"/>
      <c r="L7" s="10"/>
      <c r="M7" s="10" t="s">
        <v>32</v>
      </c>
      <c r="N7" s="10" t="s">
        <v>15</v>
      </c>
      <c r="O7" s="10" t="s">
        <v>35</v>
      </c>
      <c r="P7" s="114">
        <v>2016</v>
      </c>
      <c r="Q7" s="114">
        <v>2017</v>
      </c>
      <c r="R7" s="114">
        <v>2017</v>
      </c>
      <c r="S7" s="114">
        <v>2016</v>
      </c>
      <c r="T7" s="114" t="s">
        <v>114</v>
      </c>
    </row>
    <row r="8" spans="1:21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 t="shared" ref="G8:G15" si="0">F8*$B$20</f>
        <v>310.21501999999998</v>
      </c>
      <c r="H8" s="116">
        <v>306</v>
      </c>
      <c r="I8" s="36">
        <f>E8*H8*12</f>
        <v>18360</v>
      </c>
      <c r="J8" s="66">
        <f t="shared" ref="J8:L15" si="1">H8/($I$16/12)</f>
        <v>1.2127649455444759E-3</v>
      </c>
      <c r="K8" s="36">
        <f>(E8*(F8*($B$25)+20)*12)</f>
        <v>19008.481199999998</v>
      </c>
      <c r="L8" s="66">
        <f t="shared" si="1"/>
        <v>4.8065320690898555E-9</v>
      </c>
      <c r="M8" s="29">
        <f t="shared" ref="M8:M15" si="2">F8*$B$25+$B$28</f>
        <v>316.80802</v>
      </c>
      <c r="N8" s="36">
        <f>E8*M8*12</f>
        <v>19008.481199999998</v>
      </c>
      <c r="O8" s="66">
        <f t="shared" ref="O8:O15" si="3">M8/($I$16/12)</f>
        <v>1.2556001997495205E-3</v>
      </c>
      <c r="P8" s="20">
        <v>296</v>
      </c>
      <c r="Q8" s="117">
        <v>286</v>
      </c>
      <c r="R8" s="113">
        <f t="shared" ref="R8:R15" si="4">(Q8-P8)/P8</f>
        <v>-3.3783783783783786E-2</v>
      </c>
      <c r="S8" s="116">
        <v>316</v>
      </c>
      <c r="T8" s="113">
        <f>(H8-S8)/S8</f>
        <v>-3.1645569620253167E-2</v>
      </c>
    </row>
    <row r="9" spans="1:21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si="0"/>
        <v>345.52404666666666</v>
      </c>
      <c r="H9" s="116">
        <v>343</v>
      </c>
      <c r="I9" s="36">
        <f t="shared" ref="I9:I15" si="5">E9*H9*12</f>
        <v>20580</v>
      </c>
      <c r="J9" s="66">
        <f t="shared" si="1"/>
        <v>1.3594064585678277E-3</v>
      </c>
      <c r="K9" s="36">
        <f t="shared" ref="K9:K15" si="6">(E9*(F9*($B$25)+20)*12)</f>
        <v>21035.462800000001</v>
      </c>
      <c r="L9" s="36"/>
      <c r="M9" s="29">
        <f t="shared" si="2"/>
        <v>350.59104666666667</v>
      </c>
      <c r="N9" s="36">
        <f t="shared" ref="N9:N15" si="7">E9*M9*12</f>
        <v>21035.462800000001</v>
      </c>
      <c r="O9" s="66">
        <f t="shared" si="3"/>
        <v>1.3894919333956889E-3</v>
      </c>
      <c r="P9" s="20">
        <v>335</v>
      </c>
      <c r="Q9" s="117">
        <v>323</v>
      </c>
      <c r="R9" s="113">
        <f t="shared" si="4"/>
        <v>-3.5820895522388062E-2</v>
      </c>
      <c r="S9" s="116">
        <v>355</v>
      </c>
      <c r="T9" s="113">
        <f t="shared" ref="T9:T15" si="8">(H9-S9)/S9</f>
        <v>-3.3802816901408447E-2</v>
      </c>
    </row>
    <row r="10" spans="1:21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0"/>
        <v>380.83307333333335</v>
      </c>
      <c r="H10" s="116">
        <v>378</v>
      </c>
      <c r="I10" s="36">
        <f t="shared" si="5"/>
        <v>594216</v>
      </c>
      <c r="J10" s="66">
        <f t="shared" si="1"/>
        <v>1.4981214033196468E-3</v>
      </c>
      <c r="K10" s="36">
        <f t="shared" si="6"/>
        <v>604236.04327999998</v>
      </c>
      <c r="L10" s="36"/>
      <c r="M10" s="29">
        <f t="shared" si="2"/>
        <v>384.37407333333334</v>
      </c>
      <c r="N10" s="36">
        <f t="shared" si="7"/>
        <v>604236.04327999998</v>
      </c>
      <c r="O10" s="66">
        <f t="shared" si="3"/>
        <v>1.5233836670418576E-3</v>
      </c>
      <c r="P10" s="20">
        <v>371</v>
      </c>
      <c r="Q10" s="117">
        <v>358</v>
      </c>
      <c r="R10" s="113">
        <f t="shared" si="4"/>
        <v>-3.5040431266846361E-2</v>
      </c>
      <c r="S10" s="116">
        <v>391</v>
      </c>
      <c r="T10" s="113">
        <f t="shared" si="8"/>
        <v>-3.3248081841432228E-2</v>
      </c>
    </row>
    <row r="11" spans="1:21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0"/>
        <v>448.92905333333334</v>
      </c>
      <c r="H11" s="116">
        <v>451</v>
      </c>
      <c r="I11" s="36">
        <f t="shared" si="5"/>
        <v>70356</v>
      </c>
      <c r="J11" s="66">
        <f t="shared" si="1"/>
        <v>1.7874411452305839E-3</v>
      </c>
      <c r="K11" s="36">
        <f t="shared" si="6"/>
        <v>70126.220319999993</v>
      </c>
      <c r="L11" s="36"/>
      <c r="M11" s="29">
        <f t="shared" si="2"/>
        <v>449.5270533333333</v>
      </c>
      <c r="N11" s="36">
        <f t="shared" si="7"/>
        <v>70126.220319999993</v>
      </c>
      <c r="O11" s="66">
        <f t="shared" si="3"/>
        <v>1.781603439073754E-3</v>
      </c>
      <c r="P11" s="20">
        <v>447</v>
      </c>
      <c r="Q11" s="117">
        <v>431</v>
      </c>
      <c r="R11" s="113">
        <f t="shared" si="4"/>
        <v>-3.5794183445190156E-2</v>
      </c>
      <c r="S11" s="116">
        <v>467</v>
      </c>
      <c r="T11" s="113">
        <f t="shared" si="8"/>
        <v>-3.4261241970021415E-2</v>
      </c>
    </row>
    <row r="12" spans="1:21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0"/>
        <v>466.58356666666668</v>
      </c>
      <c r="H12" s="116">
        <v>466</v>
      </c>
      <c r="I12" s="36">
        <f t="shared" si="5"/>
        <v>1151952</v>
      </c>
      <c r="J12" s="66">
        <f t="shared" si="1"/>
        <v>1.8468904072670778E-3</v>
      </c>
      <c r="K12" s="36">
        <f t="shared" si="6"/>
        <v>1152986.6968000003</v>
      </c>
      <c r="L12" s="36"/>
      <c r="M12" s="29">
        <f t="shared" si="2"/>
        <v>466.41856666666672</v>
      </c>
      <c r="N12" s="36">
        <f t="shared" si="7"/>
        <v>1152986.6968000003</v>
      </c>
      <c r="O12" s="66">
        <f t="shared" si="3"/>
        <v>1.8485493058968386E-3</v>
      </c>
      <c r="P12" s="20">
        <v>462</v>
      </c>
      <c r="Q12" s="117">
        <v>446</v>
      </c>
      <c r="R12" s="113">
        <f t="shared" si="4"/>
        <v>-3.4632034632034632E-2</v>
      </c>
      <c r="S12" s="116">
        <v>482</v>
      </c>
      <c r="T12" s="113">
        <f t="shared" si="8"/>
        <v>-3.3195020746887967E-2</v>
      </c>
    </row>
    <row r="13" spans="1:21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0"/>
        <v>509.45881333333335</v>
      </c>
      <c r="H13" s="116">
        <v>511</v>
      </c>
      <c r="I13" s="36">
        <f t="shared" si="5"/>
        <v>67452</v>
      </c>
      <c r="J13" s="66">
        <f t="shared" si="1"/>
        <v>2.0252381933765595E-3</v>
      </c>
      <c r="K13" s="36">
        <f t="shared" si="6"/>
        <v>66982.187360000011</v>
      </c>
      <c r="L13" s="36"/>
      <c r="M13" s="29">
        <f t="shared" si="2"/>
        <v>507.44081333333338</v>
      </c>
      <c r="N13" s="36">
        <f t="shared" si="7"/>
        <v>66982.187360000011</v>
      </c>
      <c r="O13" s="66">
        <f t="shared" si="3"/>
        <v>2.0111321253243292E-3</v>
      </c>
      <c r="P13" s="20">
        <v>509</v>
      </c>
      <c r="Q13" s="117">
        <v>491</v>
      </c>
      <c r="R13" s="113">
        <f t="shared" si="4"/>
        <v>-3.536345776031434E-2</v>
      </c>
      <c r="S13" s="116">
        <v>529</v>
      </c>
      <c r="T13" s="113">
        <f t="shared" si="8"/>
        <v>-3.4026465028355386E-2</v>
      </c>
    </row>
    <row r="14" spans="1:21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0"/>
        <v>519.54710666666676</v>
      </c>
      <c r="H14" s="116">
        <v>523</v>
      </c>
      <c r="I14" s="36">
        <f t="shared" si="5"/>
        <v>960228</v>
      </c>
      <c r="J14" s="66">
        <f t="shared" si="1"/>
        <v>2.0727976030057546E-3</v>
      </c>
      <c r="K14" s="36">
        <f t="shared" si="6"/>
        <v>949382.94384000008</v>
      </c>
      <c r="L14" s="36"/>
      <c r="M14" s="29">
        <f t="shared" si="2"/>
        <v>517.0931066666667</v>
      </c>
      <c r="N14" s="36">
        <f t="shared" si="7"/>
        <v>949382.94384000008</v>
      </c>
      <c r="O14" s="66">
        <f t="shared" si="3"/>
        <v>2.0493869063660914E-3</v>
      </c>
      <c r="P14" s="20">
        <v>521</v>
      </c>
      <c r="Q14" s="117">
        <v>503</v>
      </c>
      <c r="R14" s="113">
        <f t="shared" si="4"/>
        <v>-3.4548944337811902E-2</v>
      </c>
      <c r="S14" s="116">
        <v>541</v>
      </c>
      <c r="T14" s="113">
        <f t="shared" si="8"/>
        <v>-3.3271719038817003E-2</v>
      </c>
    </row>
    <row r="15" spans="1:21" ht="15.75">
      <c r="A15" s="44">
        <f>A7-A10</f>
        <v>2989591</v>
      </c>
      <c r="B15" s="44">
        <f>B7-B10</f>
        <v>2895688</v>
      </c>
      <c r="C15" s="73">
        <f>(B15-A15)/A15</f>
        <v>-3.1409982168129354E-2</v>
      </c>
      <c r="D15" s="27" t="s">
        <v>24</v>
      </c>
      <c r="E15" s="14">
        <v>21</v>
      </c>
      <c r="F15" s="28">
        <v>2.2599999999999999E-3</v>
      </c>
      <c r="G15" s="14">
        <f t="shared" si="0"/>
        <v>569.98857333333331</v>
      </c>
      <c r="H15" s="116">
        <v>574</v>
      </c>
      <c r="I15" s="67">
        <f t="shared" si="5"/>
        <v>144648</v>
      </c>
      <c r="J15" s="66">
        <f t="shared" si="1"/>
        <v>2.2749250939298341E-3</v>
      </c>
      <c r="K15" s="36">
        <f t="shared" si="6"/>
        <v>142469.35248</v>
      </c>
      <c r="L15" s="36"/>
      <c r="M15" s="29">
        <f t="shared" si="2"/>
        <v>565.35457333333329</v>
      </c>
      <c r="N15" s="36">
        <f t="shared" si="7"/>
        <v>142469.35248</v>
      </c>
      <c r="O15" s="66">
        <f t="shared" si="3"/>
        <v>2.2406608115749034E-3</v>
      </c>
      <c r="P15" s="20">
        <v>574</v>
      </c>
      <c r="Q15" s="117">
        <v>554</v>
      </c>
      <c r="R15" s="113">
        <f t="shared" si="4"/>
        <v>-3.484320557491289E-2</v>
      </c>
      <c r="S15" s="116">
        <v>594</v>
      </c>
      <c r="T15" s="113">
        <f t="shared" si="8"/>
        <v>-3.3670033670033669E-2</v>
      </c>
    </row>
    <row r="16" spans="1:21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3027792</v>
      </c>
      <c r="J16" s="36"/>
      <c r="K16" s="36">
        <f>SUM(K8:K15)</f>
        <v>3026227.3880800004</v>
      </c>
      <c r="L16" s="36"/>
      <c r="M16" s="17"/>
      <c r="N16" s="36">
        <f>SUM(N8:N15)</f>
        <v>3026227.3880800004</v>
      </c>
      <c r="O16" s="17"/>
      <c r="P16" s="17"/>
      <c r="Q16" s="44"/>
      <c r="R16" s="17"/>
      <c r="S16" s="20"/>
      <c r="T16" s="17"/>
    </row>
    <row r="17" spans="1:20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3026488</v>
      </c>
      <c r="J17" s="11"/>
      <c r="K17" s="72">
        <f>B7</f>
        <v>3026488</v>
      </c>
      <c r="L17" s="72"/>
      <c r="M17" s="17"/>
      <c r="N17" s="72">
        <f>B7</f>
        <v>3026488</v>
      </c>
      <c r="O17" s="17"/>
      <c r="P17" s="17"/>
      <c r="Q17" s="107"/>
      <c r="R17" s="17"/>
      <c r="S17" s="20"/>
      <c r="T17" s="17"/>
    </row>
    <row r="18" spans="1:20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1304</v>
      </c>
      <c r="J18" s="18"/>
      <c r="K18" s="39">
        <f>K16-K17</f>
        <v>-260.61191999958828</v>
      </c>
      <c r="L18" s="39"/>
      <c r="M18" s="17"/>
      <c r="N18" s="39">
        <f>N16-N17</f>
        <v>-260.61191999958828</v>
      </c>
      <c r="O18" s="17"/>
      <c r="P18" s="17"/>
      <c r="Q18" s="16"/>
      <c r="R18" s="17"/>
      <c r="S18" s="20"/>
      <c r="T18" s="17"/>
    </row>
    <row r="19" spans="1:20" ht="15.75">
      <c r="A19" s="24" t="s">
        <v>61</v>
      </c>
      <c r="B19" s="24" t="s">
        <v>61</v>
      </c>
      <c r="C19" s="24"/>
    </row>
    <row r="20" spans="1:20" ht="15.75">
      <c r="A20" s="44">
        <f>A7/12</f>
        <v>260032.58333333334</v>
      </c>
      <c r="B20" s="44">
        <f>B7/12</f>
        <v>252207.33333333334</v>
      </c>
      <c r="C20" s="73">
        <f>(B20-A20)/A20</f>
        <v>-3.0093344071303884E-2</v>
      </c>
    </row>
    <row r="21" spans="1:20" ht="15.75">
      <c r="A21" s="44"/>
      <c r="B21" s="44"/>
      <c r="C21" s="44"/>
      <c r="F21" s="3" t="s">
        <v>4</v>
      </c>
    </row>
    <row r="22" spans="1:20" ht="15.75">
      <c r="A22" s="24" t="s">
        <v>31</v>
      </c>
      <c r="B22" s="24" t="s">
        <v>31</v>
      </c>
      <c r="C22" s="24"/>
      <c r="D22" s="3">
        <v>2016</v>
      </c>
      <c r="E22" s="4" t="s">
        <v>3</v>
      </c>
      <c r="F22" s="3" t="s">
        <v>5</v>
      </c>
    </row>
    <row r="23" spans="1:20" ht="15.75">
      <c r="A23" s="24" t="s">
        <v>65</v>
      </c>
      <c r="B23" s="24" t="s">
        <v>65</v>
      </c>
      <c r="C23" s="24"/>
      <c r="D23" s="3" t="s">
        <v>8</v>
      </c>
      <c r="E23" s="4" t="s">
        <v>1</v>
      </c>
      <c r="F23" s="3" t="s">
        <v>6</v>
      </c>
      <c r="G23" s="3" t="s">
        <v>48</v>
      </c>
      <c r="H23" s="3" t="s">
        <v>49</v>
      </c>
      <c r="I23" s="3" t="s">
        <v>51</v>
      </c>
    </row>
    <row r="24" spans="1:20" ht="15.75">
      <c r="A24" s="24" t="s">
        <v>61</v>
      </c>
      <c r="B24" s="24" t="s">
        <v>61</v>
      </c>
      <c r="C24" s="24"/>
      <c r="D24" s="5" t="s">
        <v>9</v>
      </c>
      <c r="E24" s="5" t="s">
        <v>2</v>
      </c>
      <c r="F24" s="5" t="s">
        <v>7</v>
      </c>
      <c r="G24" s="5" t="s">
        <v>26</v>
      </c>
      <c r="H24" s="5" t="s">
        <v>50</v>
      </c>
      <c r="I24" s="5" t="s">
        <v>52</v>
      </c>
      <c r="M24">
        <v>2017</v>
      </c>
      <c r="N24">
        <v>2</v>
      </c>
      <c r="O24">
        <v>306</v>
      </c>
      <c r="P24">
        <v>378</v>
      </c>
    </row>
    <row r="25" spans="1:20" ht="15.75">
      <c r="A25" s="44">
        <f>A15/12</f>
        <v>249132.58333333334</v>
      </c>
      <c r="B25" s="44">
        <f>B15/12</f>
        <v>241307.33333333334</v>
      </c>
      <c r="C25" s="73">
        <f>(B25-A25)/A25</f>
        <v>-3.1409982168129354E-2</v>
      </c>
      <c r="D25" s="6">
        <v>296</v>
      </c>
      <c r="E25" s="6">
        <v>5</v>
      </c>
      <c r="F25" s="6">
        <v>5.9179999999999996E-3</v>
      </c>
      <c r="G25" s="40">
        <f>F25/E25</f>
        <v>1.1835999999999999E-3</v>
      </c>
      <c r="H25" s="40">
        <f t="shared" ref="H25:H32" si="9">G25/$G$32</f>
        <v>0.51571914681716313</v>
      </c>
      <c r="I25" s="41">
        <f t="shared" ref="I25:I32" si="10">G25/$G$32</f>
        <v>0.51571914681716313</v>
      </c>
      <c r="M25">
        <v>2017</v>
      </c>
      <c r="N25">
        <v>1</v>
      </c>
      <c r="O25">
        <v>298</v>
      </c>
      <c r="P25">
        <v>374</v>
      </c>
      <c r="Q25" t="s">
        <v>76</v>
      </c>
    </row>
    <row r="26" spans="1:20" ht="15.75">
      <c r="A26" s="20"/>
      <c r="B26" s="20"/>
      <c r="C26" s="20"/>
      <c r="D26" s="6">
        <v>335</v>
      </c>
      <c r="E26" s="6">
        <v>5</v>
      </c>
      <c r="F26" s="6">
        <v>6.6969999999999998E-3</v>
      </c>
      <c r="G26" s="40">
        <f t="shared" ref="G26:G32" si="11">F26/E26</f>
        <v>1.3393999999999999E-3</v>
      </c>
      <c r="H26" s="40">
        <f t="shared" si="9"/>
        <v>0.58360444850195026</v>
      </c>
      <c r="I26" s="43">
        <f t="shared" si="10"/>
        <v>0.58360444850195026</v>
      </c>
      <c r="M26">
        <v>2016</v>
      </c>
      <c r="N26">
        <v>1</v>
      </c>
      <c r="O26">
        <v>316</v>
      </c>
      <c r="P26">
        <v>391</v>
      </c>
    </row>
    <row r="27" spans="1:20" ht="15.75">
      <c r="A27" s="24" t="s">
        <v>61</v>
      </c>
      <c r="B27" s="24" t="s">
        <v>61</v>
      </c>
      <c r="C27" s="24"/>
      <c r="D27" s="6">
        <v>371</v>
      </c>
      <c r="E27" s="6">
        <v>131</v>
      </c>
      <c r="F27" s="6">
        <v>0.19432199999999999</v>
      </c>
      <c r="G27" s="40">
        <f t="shared" si="11"/>
        <v>1.4833740458015266E-3</v>
      </c>
      <c r="H27" s="40">
        <f t="shared" si="9"/>
        <v>0.64633693588331098</v>
      </c>
      <c r="I27" s="41">
        <f t="shared" si="10"/>
        <v>0.64633693588331098</v>
      </c>
      <c r="M27">
        <v>2015</v>
      </c>
      <c r="N27">
        <v>1</v>
      </c>
      <c r="O27">
        <v>316</v>
      </c>
      <c r="P27">
        <v>391</v>
      </c>
    </row>
    <row r="28" spans="1:20" ht="15.75">
      <c r="A28" s="20">
        <v>20</v>
      </c>
      <c r="B28" s="20">
        <v>20</v>
      </c>
      <c r="C28" s="20"/>
      <c r="D28" s="6">
        <v>447</v>
      </c>
      <c r="E28" s="6">
        <v>13</v>
      </c>
      <c r="F28" s="6">
        <v>2.3234000000000001E-2</v>
      </c>
      <c r="G28" s="40">
        <f t="shared" si="11"/>
        <v>1.7872307692307693E-3</v>
      </c>
      <c r="H28" s="40">
        <f t="shared" si="9"/>
        <v>0.77873363253892747</v>
      </c>
      <c r="I28" s="43">
        <f t="shared" si="10"/>
        <v>0.77873363253892747</v>
      </c>
      <c r="M28">
        <v>2014</v>
      </c>
      <c r="N28">
        <v>2</v>
      </c>
      <c r="O28">
        <v>316</v>
      </c>
      <c r="P28">
        <v>391</v>
      </c>
    </row>
    <row r="29" spans="1:20">
      <c r="D29" s="6">
        <v>462</v>
      </c>
      <c r="E29" s="6">
        <v>206</v>
      </c>
      <c r="F29" s="6">
        <v>0.38052799999999998</v>
      </c>
      <c r="G29" s="40">
        <f t="shared" si="11"/>
        <v>1.8472233009708737E-3</v>
      </c>
      <c r="H29" s="40">
        <f t="shared" si="9"/>
        <v>0.80487362686505814</v>
      </c>
      <c r="I29" s="41">
        <f t="shared" si="10"/>
        <v>0.80487362686505814</v>
      </c>
      <c r="M29">
        <v>2014</v>
      </c>
      <c r="N29">
        <v>1</v>
      </c>
      <c r="O29">
        <v>302</v>
      </c>
      <c r="P29">
        <v>373</v>
      </c>
    </row>
    <row r="30" spans="1:20">
      <c r="D30" s="6">
        <v>509</v>
      </c>
      <c r="E30" s="6">
        <v>11</v>
      </c>
      <c r="F30" s="6">
        <v>2.2387000000000001E-2</v>
      </c>
      <c r="G30" s="40">
        <f t="shared" si="11"/>
        <v>2.0351818181818184E-3</v>
      </c>
      <c r="H30" s="40">
        <f t="shared" si="9"/>
        <v>0.88677106361146529</v>
      </c>
      <c r="I30" s="43">
        <f t="shared" si="10"/>
        <v>0.88677106361146529</v>
      </c>
      <c r="M30">
        <v>2013</v>
      </c>
      <c r="N30">
        <v>1</v>
      </c>
      <c r="O30">
        <v>302</v>
      </c>
      <c r="P30">
        <v>373</v>
      </c>
    </row>
    <row r="31" spans="1:20">
      <c r="D31" s="6">
        <v>521</v>
      </c>
      <c r="E31" s="6">
        <v>153</v>
      </c>
      <c r="F31" s="6">
        <v>0.318718</v>
      </c>
      <c r="G31" s="40">
        <f t="shared" si="11"/>
        <v>2.0831241830065361E-3</v>
      </c>
      <c r="H31" s="40">
        <f t="shared" si="9"/>
        <v>0.90766054948828234</v>
      </c>
      <c r="I31" s="41">
        <f t="shared" si="10"/>
        <v>0.90766054948828234</v>
      </c>
      <c r="M31">
        <v>2012</v>
      </c>
      <c r="N31">
        <v>1</v>
      </c>
      <c r="O31">
        <v>302</v>
      </c>
      <c r="P31">
        <v>373</v>
      </c>
    </row>
    <row r="32" spans="1:20">
      <c r="D32" s="6">
        <v>574</v>
      </c>
      <c r="E32" s="6">
        <v>21</v>
      </c>
      <c r="F32" s="6">
        <v>4.8196000000000003E-2</v>
      </c>
      <c r="G32" s="40">
        <f t="shared" si="11"/>
        <v>2.2950476190476193E-3</v>
      </c>
      <c r="H32" s="40">
        <f t="shared" si="9"/>
        <v>1</v>
      </c>
      <c r="I32" s="41">
        <f t="shared" si="10"/>
        <v>1</v>
      </c>
      <c r="M32">
        <v>2011</v>
      </c>
      <c r="N32">
        <v>2</v>
      </c>
      <c r="O32">
        <v>302</v>
      </c>
      <c r="P32">
        <v>373</v>
      </c>
    </row>
    <row r="33" spans="4:16">
      <c r="D33" s="8"/>
      <c r="M33">
        <v>2011</v>
      </c>
      <c r="N33">
        <v>1</v>
      </c>
      <c r="O33">
        <v>293</v>
      </c>
      <c r="P33">
        <v>361</v>
      </c>
    </row>
    <row r="34" spans="4:16">
      <c r="D34" s="8"/>
      <c r="F34" s="3">
        <v>2017</v>
      </c>
      <c r="M34">
        <v>2010</v>
      </c>
      <c r="N34">
        <v>4</v>
      </c>
      <c r="O34">
        <v>293</v>
      </c>
      <c r="P34">
        <v>361</v>
      </c>
    </row>
    <row r="35" spans="4:16">
      <c r="D35" s="6"/>
      <c r="E35" s="3">
        <v>2017</v>
      </c>
      <c r="F35" s="3" t="s">
        <v>8</v>
      </c>
    </row>
    <row r="36" spans="4:16">
      <c r="D36" s="6"/>
      <c r="E36" s="3" t="s">
        <v>10</v>
      </c>
      <c r="F36" s="3" t="s">
        <v>9</v>
      </c>
      <c r="H36" s="3" t="s">
        <v>49</v>
      </c>
    </row>
    <row r="37" spans="4:16">
      <c r="D37" s="5"/>
      <c r="E37" s="5" t="s">
        <v>9</v>
      </c>
      <c r="F37" s="5" t="s">
        <v>11</v>
      </c>
      <c r="H37" s="5" t="s">
        <v>50</v>
      </c>
    </row>
    <row r="38" spans="4:16">
      <c r="D38" s="7"/>
      <c r="E38" s="7">
        <v>286</v>
      </c>
      <c r="F38" s="9">
        <v>306</v>
      </c>
      <c r="H38" s="40">
        <f t="shared" ref="H38:H45" si="12">E38/$E$45</f>
        <v>0.51624548736462095</v>
      </c>
      <c r="I38" s="41">
        <f t="shared" ref="I38:I45" si="13">E38/$E$45</f>
        <v>0.51624548736462095</v>
      </c>
    </row>
    <row r="39" spans="4:16">
      <c r="D39" s="7"/>
      <c r="E39" s="7">
        <v>323</v>
      </c>
      <c r="F39" s="9">
        <v>343</v>
      </c>
      <c r="H39" s="40">
        <f t="shared" si="12"/>
        <v>0.5830324909747292</v>
      </c>
      <c r="I39" s="42">
        <f t="shared" si="13"/>
        <v>0.5830324909747292</v>
      </c>
    </row>
    <row r="40" spans="4:16">
      <c r="D40" s="7"/>
      <c r="E40" s="7">
        <v>358</v>
      </c>
      <c r="F40" s="9">
        <v>378</v>
      </c>
      <c r="H40" s="40">
        <f t="shared" si="12"/>
        <v>0.64620938628158842</v>
      </c>
      <c r="I40" s="41">
        <f t="shared" si="13"/>
        <v>0.64620938628158842</v>
      </c>
    </row>
    <row r="41" spans="4:16">
      <c r="D41" s="7"/>
      <c r="E41" s="7">
        <v>431</v>
      </c>
      <c r="F41" s="9">
        <v>451</v>
      </c>
      <c r="H41" s="40">
        <f t="shared" si="12"/>
        <v>0.77797833935018046</v>
      </c>
      <c r="I41" s="42">
        <f t="shared" si="13"/>
        <v>0.77797833935018046</v>
      </c>
    </row>
    <row r="42" spans="4:16">
      <c r="D42" s="7"/>
      <c r="E42" s="7">
        <v>446</v>
      </c>
      <c r="F42" s="9">
        <v>466</v>
      </c>
      <c r="H42" s="40">
        <f t="shared" si="12"/>
        <v>0.80505415162454874</v>
      </c>
      <c r="I42" s="41">
        <f t="shared" si="13"/>
        <v>0.80505415162454874</v>
      </c>
    </row>
    <row r="43" spans="4:16">
      <c r="D43" s="7"/>
      <c r="E43" s="7">
        <v>491</v>
      </c>
      <c r="F43" s="9">
        <v>511</v>
      </c>
      <c r="H43" s="40">
        <f t="shared" si="12"/>
        <v>0.88628158844765348</v>
      </c>
      <c r="I43" s="42">
        <f t="shared" si="13"/>
        <v>0.88628158844765348</v>
      </c>
    </row>
    <row r="44" spans="4:16">
      <c r="D44" s="7"/>
      <c r="E44" s="7">
        <v>503</v>
      </c>
      <c r="F44" s="9">
        <v>523</v>
      </c>
      <c r="H44" s="40">
        <f t="shared" si="12"/>
        <v>0.90794223826714804</v>
      </c>
      <c r="I44" s="41">
        <f t="shared" si="13"/>
        <v>0.90794223826714804</v>
      </c>
    </row>
    <row r="45" spans="4:16">
      <c r="D45" s="7"/>
      <c r="E45" s="7">
        <v>554</v>
      </c>
      <c r="F45" s="9">
        <v>574</v>
      </c>
      <c r="H45" s="40">
        <f t="shared" si="12"/>
        <v>1</v>
      </c>
      <c r="I45" s="41">
        <f t="shared" si="13"/>
        <v>1</v>
      </c>
    </row>
  </sheetData>
  <pageMargins left="0.7" right="0.7" top="0.75" bottom="0.75" header="0.3" footer="0.3"/>
  <ignoredErrors>
    <ignoredError sqref="P6:S6 R4:T4 T5 T7" numberStoredAsText="1"/>
    <ignoredError sqref="K8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8"/>
  <sheetViews>
    <sheetView workbookViewId="0">
      <selection activeCell="B7" sqref="B7"/>
    </sheetView>
  </sheetViews>
  <sheetFormatPr defaultRowHeight="15"/>
  <cols>
    <col min="1" max="2" width="12.140625" bestFit="1" customWidth="1"/>
    <col min="3" max="3" width="8.42578125" customWidth="1"/>
  </cols>
  <sheetData>
    <row r="1" spans="1:3">
      <c r="A1" t="s">
        <v>95</v>
      </c>
    </row>
    <row r="4" spans="1:3" ht="26.25">
      <c r="A4" s="97">
        <v>2017</v>
      </c>
      <c r="B4" s="97">
        <v>2018</v>
      </c>
      <c r="C4" s="98"/>
    </row>
    <row r="5" spans="1:3" ht="15.75">
      <c r="A5" s="24" t="s">
        <v>66</v>
      </c>
      <c r="B5" s="24" t="s">
        <v>66</v>
      </c>
      <c r="C5" s="24" t="s">
        <v>35</v>
      </c>
    </row>
    <row r="6" spans="1:3" ht="15.75">
      <c r="A6" s="24" t="s">
        <v>60</v>
      </c>
      <c r="B6" s="24" t="s">
        <v>60</v>
      </c>
      <c r="C6" s="77" t="s">
        <v>77</v>
      </c>
    </row>
    <row r="7" spans="1:3" ht="15.75">
      <c r="A7" s="94">
        <v>3026488</v>
      </c>
      <c r="B7" s="120">
        <v>2968574</v>
      </c>
      <c r="C7" s="73">
        <f>(B7-A7)/A7</f>
        <v>-1.9135711094839958E-2</v>
      </c>
    </row>
    <row r="8" spans="1:3" ht="15.75">
      <c r="A8" s="44"/>
      <c r="B8" s="44"/>
      <c r="C8" s="44"/>
    </row>
    <row r="9" spans="1:3" ht="15.75">
      <c r="A9" s="24" t="s">
        <v>61</v>
      </c>
      <c r="B9" s="24" t="s">
        <v>61</v>
      </c>
      <c r="C9" s="24"/>
    </row>
    <row r="10" spans="1:3" ht="15.75">
      <c r="A10" s="44">
        <v>130800</v>
      </c>
      <c r="B10" s="44">
        <v>130800</v>
      </c>
      <c r="C10" s="44"/>
    </row>
    <row r="11" spans="1:3" ht="15.75">
      <c r="A11" s="20"/>
      <c r="B11" s="20"/>
      <c r="C11" s="20"/>
    </row>
    <row r="12" spans="1:3" ht="15.75">
      <c r="A12" s="24" t="s">
        <v>62</v>
      </c>
      <c r="B12" s="24" t="s">
        <v>62</v>
      </c>
      <c r="C12" s="24"/>
    </row>
    <row r="13" spans="1:3" ht="15.75">
      <c r="A13" s="24" t="s">
        <v>63</v>
      </c>
      <c r="B13" s="24" t="s">
        <v>63</v>
      </c>
      <c r="C13" s="24"/>
    </row>
    <row r="14" spans="1:3" ht="15.75">
      <c r="A14" s="24" t="s">
        <v>61</v>
      </c>
      <c r="B14" s="24" t="s">
        <v>61</v>
      </c>
      <c r="C14" s="24"/>
    </row>
    <row r="15" spans="1:3" ht="15.75">
      <c r="A15" s="44">
        <f>A7-A10</f>
        <v>2895688</v>
      </c>
      <c r="B15" s="44">
        <f>B7-B10</f>
        <v>2837774</v>
      </c>
      <c r="C15" s="73">
        <f>(B15-A15)/A15</f>
        <v>-2.0000082881857437E-2</v>
      </c>
    </row>
    <row r="16" spans="1:3" ht="15.75">
      <c r="A16" s="44"/>
      <c r="B16" s="44"/>
      <c r="C16" s="44"/>
    </row>
    <row r="17" spans="1:3" ht="15.75">
      <c r="A17" s="24" t="s">
        <v>31</v>
      </c>
      <c r="B17" s="24" t="s">
        <v>31</v>
      </c>
      <c r="C17" s="24"/>
    </row>
    <row r="18" spans="1:3" ht="15.75">
      <c r="A18" s="24" t="s">
        <v>64</v>
      </c>
      <c r="B18" s="24" t="s">
        <v>64</v>
      </c>
      <c r="C18" s="24"/>
    </row>
    <row r="19" spans="1:3" ht="15.75">
      <c r="A19" s="24" t="s">
        <v>61</v>
      </c>
      <c r="B19" s="24" t="s">
        <v>61</v>
      </c>
      <c r="C19" s="24"/>
    </row>
    <row r="20" spans="1:3" ht="15.75">
      <c r="A20" s="44">
        <f>A7/12</f>
        <v>252207.33333333334</v>
      </c>
      <c r="B20" s="44">
        <f>B7/12</f>
        <v>247381.16666666666</v>
      </c>
      <c r="C20" s="73">
        <f>(B20-A20)/A20</f>
        <v>-1.9135711094840035E-2</v>
      </c>
    </row>
    <row r="21" spans="1:3" ht="15.75">
      <c r="A21" s="44"/>
      <c r="B21" s="44"/>
      <c r="C21" s="44"/>
    </row>
    <row r="22" spans="1:3" ht="15.75">
      <c r="A22" s="24" t="s">
        <v>31</v>
      </c>
      <c r="B22" s="24" t="s">
        <v>31</v>
      </c>
      <c r="C22" s="24"/>
    </row>
    <row r="23" spans="1:3" ht="15.75">
      <c r="A23" s="24" t="s">
        <v>65</v>
      </c>
      <c r="B23" s="24" t="s">
        <v>65</v>
      </c>
      <c r="C23" s="24"/>
    </row>
    <row r="24" spans="1:3" ht="15.75">
      <c r="A24" s="24" t="s">
        <v>61</v>
      </c>
      <c r="B24" s="24" t="s">
        <v>61</v>
      </c>
      <c r="C24" s="24"/>
    </row>
    <row r="25" spans="1:3" ht="15.75">
      <c r="A25" s="44">
        <f>A15/12</f>
        <v>241307.33333333334</v>
      </c>
      <c r="B25" s="44">
        <f>B15/12</f>
        <v>236481.16666666666</v>
      </c>
      <c r="C25" s="73">
        <f>(B25-A25)/A25</f>
        <v>-2.0000082881857516E-2</v>
      </c>
    </row>
    <row r="26" spans="1:3" ht="15.75">
      <c r="A26" s="20"/>
      <c r="B26" s="20"/>
      <c r="C26" s="20"/>
    </row>
    <row r="27" spans="1:3" ht="15.75">
      <c r="A27" s="24" t="s">
        <v>61</v>
      </c>
      <c r="B27" s="24" t="s">
        <v>61</v>
      </c>
      <c r="C27" s="24"/>
    </row>
    <row r="28" spans="1:3" ht="15.75">
      <c r="A28" s="20">
        <v>20</v>
      </c>
      <c r="B28" s="20">
        <v>20</v>
      </c>
      <c r="C28" s="2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36"/>
  <sheetViews>
    <sheetView workbookViewId="0">
      <pane ySplit="3" topLeftCell="A4" activePane="bottomLeft" state="frozen"/>
      <selection pane="bottomLeft" sqref="A1:XFD1048576"/>
    </sheetView>
  </sheetViews>
  <sheetFormatPr defaultRowHeight="15.75"/>
  <cols>
    <col min="1" max="1" width="10.7109375" style="65" customWidth="1"/>
    <col min="2" max="2" width="9.5703125" style="88" bestFit="1" customWidth="1"/>
    <col min="3" max="3" width="10.5703125" customWidth="1"/>
    <col min="4" max="4" width="11.28515625" bestFit="1" customWidth="1"/>
    <col min="5" max="5" width="12" bestFit="1" customWidth="1"/>
    <col min="6" max="6" width="10.28515625" bestFit="1" customWidth="1"/>
    <col min="7" max="7" width="9.5703125" bestFit="1" customWidth="1"/>
    <col min="8" max="8" width="10.5703125" customWidth="1"/>
    <col min="9" max="9" width="10.28515625" bestFit="1" customWidth="1"/>
    <col min="10" max="10" width="11.42578125" customWidth="1"/>
    <col min="11" max="11" width="9.5703125" customWidth="1"/>
    <col min="12" max="12" width="9.85546875" style="68" customWidth="1"/>
    <col min="13" max="13" width="8.42578125" bestFit="1" customWidth="1"/>
    <col min="14" max="14" width="10.140625" bestFit="1" customWidth="1"/>
    <col min="15" max="15" width="7.28515625" style="38" customWidth="1"/>
    <col min="16" max="22" width="7.28515625" customWidth="1"/>
    <col min="25" max="25" width="12.140625" customWidth="1"/>
  </cols>
  <sheetData>
    <row r="1" spans="1:25">
      <c r="L1" s="3" t="s">
        <v>123</v>
      </c>
      <c r="N1" s="3" t="s">
        <v>123</v>
      </c>
    </row>
    <row r="2" spans="1:25" s="3" customFormat="1">
      <c r="A2" s="65"/>
      <c r="B2" s="88"/>
      <c r="C2" s="20" t="s">
        <v>17</v>
      </c>
      <c r="D2" s="20" t="s">
        <v>37</v>
      </c>
      <c r="E2" s="20" t="s">
        <v>19</v>
      </c>
      <c r="F2" s="20" t="s">
        <v>20</v>
      </c>
      <c r="G2" s="20" t="s">
        <v>21</v>
      </c>
      <c r="H2" s="20" t="s">
        <v>38</v>
      </c>
      <c r="I2" s="20" t="s">
        <v>39</v>
      </c>
      <c r="J2" s="20" t="s">
        <v>40</v>
      </c>
      <c r="K2" s="20" t="s">
        <v>31</v>
      </c>
      <c r="L2" s="20" t="s">
        <v>15</v>
      </c>
      <c r="M2" s="20" t="s">
        <v>14</v>
      </c>
      <c r="N2" s="20" t="s">
        <v>15</v>
      </c>
      <c r="O2" s="20" t="s">
        <v>17</v>
      </c>
      <c r="P2" s="20" t="s">
        <v>41</v>
      </c>
      <c r="Q2" s="20" t="s">
        <v>19</v>
      </c>
      <c r="R2" s="20" t="s">
        <v>42</v>
      </c>
      <c r="S2" s="20" t="s">
        <v>21</v>
      </c>
      <c r="T2" s="20" t="s">
        <v>43</v>
      </c>
      <c r="U2" s="20" t="s">
        <v>39</v>
      </c>
      <c r="V2" s="20" t="s">
        <v>44</v>
      </c>
      <c r="W2" s="20"/>
    </row>
    <row r="3" spans="1:25" s="3" customFormat="1">
      <c r="A3" s="65"/>
      <c r="B3" s="88"/>
      <c r="C3" s="20">
        <v>5</v>
      </c>
      <c r="D3" s="20">
        <v>5</v>
      </c>
      <c r="E3" s="20">
        <v>131</v>
      </c>
      <c r="F3" s="20">
        <v>13</v>
      </c>
      <c r="G3" s="20">
        <v>206</v>
      </c>
      <c r="H3" s="20">
        <v>11</v>
      </c>
      <c r="I3" s="20">
        <v>153</v>
      </c>
      <c r="J3" s="20">
        <v>21</v>
      </c>
      <c r="K3" s="20" t="s">
        <v>124</v>
      </c>
      <c r="L3" s="20" t="s">
        <v>124</v>
      </c>
      <c r="M3" s="20" t="s">
        <v>70</v>
      </c>
      <c r="N3" s="20" t="s">
        <v>125</v>
      </c>
      <c r="O3" s="20">
        <v>5</v>
      </c>
      <c r="P3" s="20">
        <v>5</v>
      </c>
      <c r="Q3" s="20">
        <v>131</v>
      </c>
      <c r="R3" s="20">
        <v>13</v>
      </c>
      <c r="S3" s="20">
        <v>206</v>
      </c>
      <c r="T3" s="20">
        <v>11</v>
      </c>
      <c r="U3" s="20">
        <v>153</v>
      </c>
      <c r="V3" s="20">
        <v>21</v>
      </c>
      <c r="W3" s="20"/>
    </row>
    <row r="4" spans="1:25" s="3" customFormat="1">
      <c r="A4" s="65" t="s">
        <v>142</v>
      </c>
      <c r="B4" s="88"/>
      <c r="C4" s="20">
        <v>1.1839999999999999E-3</v>
      </c>
      <c r="D4" s="20">
        <v>1.3389999999999999E-3</v>
      </c>
      <c r="E4" s="20">
        <v>1.4829999999999999E-3</v>
      </c>
      <c r="F4" s="20">
        <v>1.787E-3</v>
      </c>
      <c r="G4" s="20">
        <v>1.8469999999999999E-3</v>
      </c>
      <c r="H4" s="20">
        <v>2.0349999999999999E-3</v>
      </c>
      <c r="I4" s="20">
        <v>2.0830000000000002E-3</v>
      </c>
      <c r="J4" s="20">
        <v>2.2950000000000002E-3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5" s="3" customFormat="1">
      <c r="A5" s="65" t="s">
        <v>143</v>
      </c>
      <c r="B5" s="88"/>
      <c r="C5" s="156" t="s">
        <v>134</v>
      </c>
      <c r="D5" s="156" t="s">
        <v>135</v>
      </c>
      <c r="E5" s="156" t="s">
        <v>136</v>
      </c>
      <c r="F5" s="156" t="s">
        <v>137</v>
      </c>
      <c r="G5" s="156" t="s">
        <v>138</v>
      </c>
      <c r="H5" s="156" t="s">
        <v>139</v>
      </c>
      <c r="I5" s="156" t="s">
        <v>140</v>
      </c>
      <c r="J5" s="156" t="s">
        <v>141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5" s="3" customFormat="1">
      <c r="A6" s="65" t="s">
        <v>121</v>
      </c>
      <c r="B6" s="122" t="s">
        <v>122</v>
      </c>
      <c r="C6" s="18">
        <v>1.23E-3</v>
      </c>
      <c r="D6" s="18">
        <v>1.3699999999999999E-3</v>
      </c>
      <c r="E6" s="18">
        <v>1.5100000000000001E-3</v>
      </c>
      <c r="F6" s="18">
        <v>1.7799999999999999E-3</v>
      </c>
      <c r="G6" s="18">
        <v>1.8500000000000001E-3</v>
      </c>
      <c r="H6" s="18">
        <v>2.0219999999999999E-3</v>
      </c>
      <c r="I6" s="18">
        <v>2.0600000000000002E-3</v>
      </c>
      <c r="J6" s="18">
        <v>2.2599999999999999E-3</v>
      </c>
      <c r="K6" s="18"/>
      <c r="L6" s="65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5" s="3" customFormat="1">
      <c r="A7" s="65">
        <v>1988</v>
      </c>
      <c r="B7" s="88"/>
      <c r="C7" s="124">
        <f>(O7)/($N$7/12)</f>
        <v>1.2328366029187407E-3</v>
      </c>
      <c r="D7" s="124">
        <f t="shared" ref="D7:J7" si="0">(P7)/($N$7/12)</f>
        <v>1.3715307207470991E-3</v>
      </c>
      <c r="E7" s="124">
        <f t="shared" si="0"/>
        <v>1.5102248385754572E-3</v>
      </c>
      <c r="F7" s="124">
        <f t="shared" si="0"/>
        <v>1.7799078454639318E-3</v>
      </c>
      <c r="G7" s="124">
        <f t="shared" si="0"/>
        <v>1.8492549043781111E-3</v>
      </c>
      <c r="H7" s="124">
        <f t="shared" si="0"/>
        <v>2.0187699372794378E-3</v>
      </c>
      <c r="I7" s="124">
        <f t="shared" si="0"/>
        <v>2.0611486955047697E-3</v>
      </c>
      <c r="J7" s="124">
        <f t="shared" si="0"/>
        <v>2.261484643479065E-3</v>
      </c>
      <c r="K7" s="140">
        <f>L7/12</f>
        <v>121607</v>
      </c>
      <c r="L7" s="64">
        <v>1459284</v>
      </c>
      <c r="M7" s="36">
        <v>98100</v>
      </c>
      <c r="N7" s="120">
        <v>1557384</v>
      </c>
      <c r="O7" s="84">
        <v>160</v>
      </c>
      <c r="P7" s="84">
        <v>178</v>
      </c>
      <c r="Q7" s="84">
        <v>196</v>
      </c>
      <c r="R7" s="84">
        <v>231</v>
      </c>
      <c r="S7" s="84">
        <v>240</v>
      </c>
      <c r="T7" s="84">
        <v>262</v>
      </c>
      <c r="U7" s="84">
        <v>267.5</v>
      </c>
      <c r="V7" s="84">
        <v>293.5</v>
      </c>
      <c r="W7" s="20"/>
    </row>
    <row r="8" spans="1:25" s="3" customFormat="1">
      <c r="A8" s="65" t="s">
        <v>71</v>
      </c>
      <c r="B8" s="88" t="s">
        <v>81</v>
      </c>
      <c r="C8" s="124">
        <f>(O8)/($N8/12)</f>
        <v>1.2312054620751409E-3</v>
      </c>
      <c r="D8" s="124">
        <f t="shared" ref="D8:J9" si="1">(P8)/($N8/12)</f>
        <v>1.3692497108532627E-3</v>
      </c>
      <c r="E8" s="124">
        <f t="shared" si="1"/>
        <v>1.5110248852740365E-3</v>
      </c>
      <c r="F8" s="124">
        <f t="shared" si="1"/>
        <v>1.7796515315449764E-3</v>
      </c>
      <c r="G8" s="124">
        <f t="shared" si="1"/>
        <v>1.8505391187553632E-3</v>
      </c>
      <c r="H8" s="124">
        <f t="shared" si="1"/>
        <v>2.0184307726747006E-3</v>
      </c>
      <c r="I8" s="124">
        <f t="shared" si="1"/>
        <v>2.0594709547438719E-3</v>
      </c>
      <c r="J8" s="124">
        <f t="shared" si="1"/>
        <v>2.257210013804425E-3</v>
      </c>
      <c r="K8" s="140">
        <f t="shared" ref="K8:K24" si="2">L8/12</f>
        <v>125840</v>
      </c>
      <c r="L8" s="64">
        <v>1510080</v>
      </c>
      <c r="M8" s="36">
        <v>98100</v>
      </c>
      <c r="N8" s="120">
        <v>1608180</v>
      </c>
      <c r="O8" s="84">
        <v>165</v>
      </c>
      <c r="P8" s="84">
        <v>183.5</v>
      </c>
      <c r="Q8" s="84">
        <v>202.5</v>
      </c>
      <c r="R8" s="84">
        <v>238.5</v>
      </c>
      <c r="S8" s="84">
        <v>248</v>
      </c>
      <c r="T8" s="84">
        <v>270.5</v>
      </c>
      <c r="U8" s="84">
        <v>276</v>
      </c>
      <c r="V8" s="84">
        <v>302.5</v>
      </c>
      <c r="W8" s="20"/>
    </row>
    <row r="9" spans="1:25" s="3" customFormat="1">
      <c r="A9" s="143" t="s">
        <v>80</v>
      </c>
      <c r="B9" s="144" t="s">
        <v>85</v>
      </c>
      <c r="C9" s="145">
        <f>(O9)/($N9/12)</f>
        <v>1.2298945383844931E-3</v>
      </c>
      <c r="D9" s="145">
        <f t="shared" si="1"/>
        <v>1.3698226595180581E-3</v>
      </c>
      <c r="E9" s="145">
        <f t="shared" si="1"/>
        <v>1.5097507806516232E-3</v>
      </c>
      <c r="F9" s="145">
        <f t="shared" si="1"/>
        <v>1.7822423849643552E-3</v>
      </c>
      <c r="G9" s="145">
        <f t="shared" si="1"/>
        <v>1.8485241265539386E-3</v>
      </c>
      <c r="H9" s="145">
        <f t="shared" si="1"/>
        <v>2.0252754374594944E-3</v>
      </c>
      <c r="I9" s="145">
        <f t="shared" si="1"/>
        <v>2.0620986272314851E-3</v>
      </c>
      <c r="J9" s="145">
        <f t="shared" si="1"/>
        <v>2.2609438520002356E-3</v>
      </c>
      <c r="K9" s="146">
        <f t="shared" si="2"/>
        <v>127609</v>
      </c>
      <c r="L9" s="147">
        <v>1531308</v>
      </c>
      <c r="M9" s="147">
        <v>98100</v>
      </c>
      <c r="N9" s="148">
        <v>1629408</v>
      </c>
      <c r="O9" s="143">
        <v>167</v>
      </c>
      <c r="P9" s="143">
        <v>186</v>
      </c>
      <c r="Q9" s="143">
        <v>205</v>
      </c>
      <c r="R9" s="143">
        <v>242</v>
      </c>
      <c r="S9" s="143">
        <v>251</v>
      </c>
      <c r="T9" s="143">
        <v>275</v>
      </c>
      <c r="U9" s="143">
        <v>280</v>
      </c>
      <c r="V9" s="143">
        <v>307</v>
      </c>
      <c r="W9" s="20"/>
    </row>
    <row r="10" spans="1:25" s="17" customFormat="1">
      <c r="A10" s="65">
        <v>1998</v>
      </c>
      <c r="B10" s="88" t="s">
        <v>86</v>
      </c>
      <c r="C10" s="124">
        <f t="shared" ref="C10:C21" si="3">(O10-20)/($K10)</f>
        <v>1.1917037929033666E-3</v>
      </c>
      <c r="D10" s="124">
        <f t="shared" ref="D10:D21" si="4">(P10-20)/K10</f>
        <v>1.3341086486591148E-3</v>
      </c>
      <c r="E10" s="124">
        <f t="shared" ref="E10:E21" si="5">(Q10-20)/K10</f>
        <v>1.4840084968230601E-3</v>
      </c>
      <c r="F10" s="124">
        <f t="shared" ref="F10:F21" si="6">(R10-20)/K10</f>
        <v>1.7763132007427539E-3</v>
      </c>
      <c r="G10" s="124">
        <f t="shared" ref="G10:G21" si="7">(S10-20)/K10</f>
        <v>1.8512631248247266E-3</v>
      </c>
      <c r="H10" s="124">
        <f t="shared" ref="H10:H21" si="8">(T10-20)/K10</f>
        <v>2.0386379350296586E-3</v>
      </c>
      <c r="I10" s="124">
        <f t="shared" ref="I10:I21" si="9">(U10-20)/K10</f>
        <v>2.0761128970706449E-3</v>
      </c>
      <c r="J10" s="124">
        <f t="shared" ref="J10:J21" si="10">(V10-20)/K10</f>
        <v>2.2934676769083657E-3</v>
      </c>
      <c r="K10" s="140">
        <f t="shared" si="2"/>
        <v>133422.41666666666</v>
      </c>
      <c r="L10" s="63">
        <v>1601069</v>
      </c>
      <c r="M10" s="36">
        <v>130800</v>
      </c>
      <c r="N10" s="123">
        <v>1731869</v>
      </c>
      <c r="O10" s="70">
        <v>179</v>
      </c>
      <c r="P10" s="85">
        <v>198</v>
      </c>
      <c r="Q10" s="85">
        <v>218</v>
      </c>
      <c r="R10" s="85">
        <v>257</v>
      </c>
      <c r="S10" s="85">
        <v>267</v>
      </c>
      <c r="T10" s="85">
        <v>292</v>
      </c>
      <c r="U10" s="85">
        <v>297</v>
      </c>
      <c r="V10" s="85">
        <v>326</v>
      </c>
      <c r="X10" s="86"/>
    </row>
    <row r="11" spans="1:25">
      <c r="A11" s="65" t="s">
        <v>128</v>
      </c>
      <c r="B11" s="88" t="s">
        <v>87</v>
      </c>
      <c r="C11" s="124">
        <f t="shared" si="3"/>
        <v>1.1787977483254603E-3</v>
      </c>
      <c r="D11" s="124">
        <f t="shared" si="4"/>
        <v>1.3325539763679116E-3</v>
      </c>
      <c r="E11" s="124">
        <f t="shared" si="5"/>
        <v>1.486310204410363E-3</v>
      </c>
      <c r="F11" s="124">
        <f t="shared" si="6"/>
        <v>1.7791792102055085E-3</v>
      </c>
      <c r="G11" s="124">
        <f t="shared" si="7"/>
        <v>1.8523964616542949E-3</v>
      </c>
      <c r="H11" s="124">
        <f t="shared" si="8"/>
        <v>2.0354395902762606E-3</v>
      </c>
      <c r="I11" s="124">
        <f t="shared" si="9"/>
        <v>2.0793699411455323E-3</v>
      </c>
      <c r="J11" s="124">
        <f t="shared" si="10"/>
        <v>2.2916999703470132E-3</v>
      </c>
      <c r="K11" s="140">
        <f t="shared" si="2"/>
        <v>136579.83333333334</v>
      </c>
      <c r="L11" s="63">
        <v>1638958</v>
      </c>
      <c r="M11" s="36">
        <v>130800</v>
      </c>
      <c r="N11" s="94">
        <f t="shared" ref="N11:N16" si="11">L11+M11</f>
        <v>1769758</v>
      </c>
      <c r="O11" s="65">
        <v>181</v>
      </c>
      <c r="P11" s="65">
        <v>202</v>
      </c>
      <c r="Q11" s="65">
        <v>223</v>
      </c>
      <c r="R11" s="65">
        <v>263</v>
      </c>
      <c r="S11" s="65">
        <v>273</v>
      </c>
      <c r="T11" s="65">
        <v>298</v>
      </c>
      <c r="U11" s="65">
        <v>304</v>
      </c>
      <c r="V11" s="65">
        <v>333</v>
      </c>
      <c r="W11" s="17"/>
      <c r="X11" s="86"/>
      <c r="Y11" s="87"/>
    </row>
    <row r="12" spans="1:25">
      <c r="C12" s="124">
        <f t="shared" ref="C12" si="12">(O12-20)/($K12)</f>
        <v>1.3959601161225607E-3</v>
      </c>
      <c r="D12" s="124">
        <f t="shared" ref="D12" si="13">(P12-20)/K12</f>
        <v>1.5589417178475591E-3</v>
      </c>
      <c r="E12" s="124">
        <f t="shared" ref="E12" si="14">(Q12-20)/K12</f>
        <v>1.7219233195725576E-3</v>
      </c>
      <c r="F12" s="124">
        <f t="shared" ref="F12" si="15">(R12-20)/K12</f>
        <v>2.0323644657154116E-3</v>
      </c>
      <c r="G12" s="124">
        <f t="shared" ref="G12" si="16">(S12-20)/K12</f>
        <v>2.1099747522511252E-3</v>
      </c>
      <c r="H12" s="124">
        <f t="shared" ref="H12" si="17">(T12-20)/K12</f>
        <v>2.3040004685904092E-3</v>
      </c>
      <c r="I12" s="124">
        <f t="shared" ref="I12" si="18">(U12-20)/K12</f>
        <v>2.3505666405118373E-3</v>
      </c>
      <c r="J12" s="124">
        <f t="shared" ref="J12" si="19">(V12-20)/K12</f>
        <v>2.5756364714654063E-3</v>
      </c>
      <c r="K12" s="140">
        <f t="shared" ref="K12" si="20">L12/12</f>
        <v>136579.83333333334</v>
      </c>
      <c r="L12" s="63">
        <v>1638958</v>
      </c>
      <c r="M12" s="36">
        <v>130800</v>
      </c>
      <c r="N12" s="94">
        <f t="shared" ref="N12" si="21">L12+M12</f>
        <v>1769758</v>
      </c>
      <c r="O12" s="85">
        <f>0.06*(O11-20)+O11+20</f>
        <v>210.66</v>
      </c>
      <c r="P12" s="85">
        <f t="shared" ref="P12:V12" si="22">0.06*(P11-20)+P11+20</f>
        <v>232.92</v>
      </c>
      <c r="Q12" s="85">
        <f t="shared" si="22"/>
        <v>255.18</v>
      </c>
      <c r="R12" s="85">
        <f t="shared" si="22"/>
        <v>297.58</v>
      </c>
      <c r="S12" s="85">
        <f t="shared" si="22"/>
        <v>308.18</v>
      </c>
      <c r="T12" s="85">
        <f t="shared" si="22"/>
        <v>334.68</v>
      </c>
      <c r="U12" s="85">
        <f t="shared" si="22"/>
        <v>341.04</v>
      </c>
      <c r="V12" s="85">
        <f t="shared" si="22"/>
        <v>371.78</v>
      </c>
      <c r="W12" s="17"/>
      <c r="X12" s="86"/>
      <c r="Y12" s="87"/>
    </row>
    <row r="13" spans="1:25">
      <c r="A13" s="65">
        <v>2001</v>
      </c>
      <c r="B13" s="88" t="s">
        <v>86</v>
      </c>
      <c r="C13" s="124">
        <f>(O13-20)/(K13)</f>
        <v>1.3210321341643003E-3</v>
      </c>
      <c r="D13" s="124">
        <f t="shared" si="4"/>
        <v>1.3348649313806803E-3</v>
      </c>
      <c r="E13" s="124">
        <f t="shared" si="5"/>
        <v>1.4801093021526714E-3</v>
      </c>
      <c r="F13" s="124">
        <f t="shared" si="6"/>
        <v>1.7844308409130339E-3</v>
      </c>
      <c r="G13" s="124">
        <f t="shared" si="7"/>
        <v>1.9919227991587354E-3</v>
      </c>
      <c r="H13" s="124">
        <f t="shared" si="8"/>
        <v>2.040337589416066E-3</v>
      </c>
      <c r="I13" s="124">
        <f t="shared" si="9"/>
        <v>2.0818359810652063E-3</v>
      </c>
      <c r="J13" s="124">
        <f t="shared" si="10"/>
        <v>2.2962443379190979E-3</v>
      </c>
      <c r="K13" s="140">
        <f t="shared" si="2"/>
        <v>144583.91666666666</v>
      </c>
      <c r="L13" s="64">
        <v>1735007</v>
      </c>
      <c r="M13" s="36">
        <v>130800</v>
      </c>
      <c r="N13" s="36">
        <f t="shared" si="11"/>
        <v>1865807</v>
      </c>
      <c r="O13" s="65">
        <v>211</v>
      </c>
      <c r="P13" s="12">
        <v>213</v>
      </c>
      <c r="Q13" s="12">
        <v>234</v>
      </c>
      <c r="R13" s="12">
        <v>278</v>
      </c>
      <c r="S13" s="12">
        <v>308</v>
      </c>
      <c r="T13" s="12">
        <v>315</v>
      </c>
      <c r="U13" s="12">
        <v>321</v>
      </c>
      <c r="V13" s="12">
        <v>352</v>
      </c>
      <c r="W13" s="17"/>
      <c r="X13" s="86"/>
      <c r="Y13" s="87"/>
    </row>
    <row r="14" spans="1:25">
      <c r="A14" s="65">
        <v>2002</v>
      </c>
      <c r="B14" s="88" t="s">
        <v>89</v>
      </c>
      <c r="C14" s="124">
        <f t="shared" si="3"/>
        <v>1.1847582452769773E-3</v>
      </c>
      <c r="D14" s="124">
        <f t="shared" si="4"/>
        <v>1.3384566122318284E-3</v>
      </c>
      <c r="E14" s="124">
        <f t="shared" si="5"/>
        <v>1.4857508805635607E-3</v>
      </c>
      <c r="F14" s="124">
        <f t="shared" si="6"/>
        <v>1.7739353186039064E-3</v>
      </c>
      <c r="G14" s="124">
        <f t="shared" si="7"/>
        <v>1.8507845020813321E-3</v>
      </c>
      <c r="H14" s="124">
        <f t="shared" si="8"/>
        <v>2.0365033621517772E-3</v>
      </c>
      <c r="I14" s="124">
        <f t="shared" si="9"/>
        <v>2.0749279538904899E-3</v>
      </c>
      <c r="J14" s="124">
        <f t="shared" si="10"/>
        <v>2.2926673070765291E-3</v>
      </c>
      <c r="K14" s="140">
        <f t="shared" si="2"/>
        <v>156150</v>
      </c>
      <c r="L14" s="64">
        <v>1873800</v>
      </c>
      <c r="M14" s="36">
        <v>130800</v>
      </c>
      <c r="N14" s="36">
        <f t="shared" si="11"/>
        <v>2004600</v>
      </c>
      <c r="O14" s="65">
        <v>205</v>
      </c>
      <c r="P14" s="65">
        <v>229</v>
      </c>
      <c r="Q14" s="65">
        <v>252</v>
      </c>
      <c r="R14" s="65">
        <v>297</v>
      </c>
      <c r="S14" s="65">
        <v>309</v>
      </c>
      <c r="T14" s="65">
        <v>338</v>
      </c>
      <c r="U14" s="65">
        <v>344</v>
      </c>
      <c r="V14" s="65">
        <v>378</v>
      </c>
      <c r="W14" s="17"/>
      <c r="X14" s="86"/>
      <c r="Y14" s="87"/>
    </row>
    <row r="15" spans="1:25">
      <c r="A15" s="65" t="s">
        <v>94</v>
      </c>
      <c r="B15" s="88" t="s">
        <v>90</v>
      </c>
      <c r="C15" s="124">
        <f t="shared" si="3"/>
        <v>1.1887711899211319E-3</v>
      </c>
      <c r="D15" s="124">
        <f t="shared" si="4"/>
        <v>1.3381143042328319E-3</v>
      </c>
      <c r="E15" s="124">
        <f t="shared" si="5"/>
        <v>1.4874574185445319E-3</v>
      </c>
      <c r="F15" s="124">
        <f t="shared" si="6"/>
        <v>1.7741961980229958E-3</v>
      </c>
      <c r="G15" s="124">
        <f t="shared" si="7"/>
        <v>1.8518546174650799E-3</v>
      </c>
      <c r="H15" s="124">
        <f t="shared" si="8"/>
        <v>2.0370400792115878E-3</v>
      </c>
      <c r="I15" s="124">
        <f t="shared" si="9"/>
        <v>2.072882426646396E-3</v>
      </c>
      <c r="J15" s="124">
        <f t="shared" si="10"/>
        <v>2.2879365112552438E-3</v>
      </c>
      <c r="K15" s="140">
        <f t="shared" si="2"/>
        <v>167399.75</v>
      </c>
      <c r="L15" s="39">
        <v>2008797</v>
      </c>
      <c r="M15" s="36">
        <v>130800</v>
      </c>
      <c r="N15" s="36">
        <f t="shared" si="11"/>
        <v>2139597</v>
      </c>
      <c r="O15" s="141">
        <v>219</v>
      </c>
      <c r="P15" s="141">
        <v>244</v>
      </c>
      <c r="Q15" s="141">
        <v>269</v>
      </c>
      <c r="R15" s="141">
        <v>317</v>
      </c>
      <c r="S15" s="65">
        <v>330</v>
      </c>
      <c r="T15" s="141">
        <v>361</v>
      </c>
      <c r="U15" s="141">
        <v>367</v>
      </c>
      <c r="V15" s="141">
        <v>403</v>
      </c>
      <c r="W15" s="17"/>
      <c r="X15" s="86"/>
    </row>
    <row r="16" spans="1:25">
      <c r="A16" s="65">
        <v>2005</v>
      </c>
      <c r="B16" s="88" t="s">
        <v>90</v>
      </c>
      <c r="C16" s="124">
        <f t="shared" si="3"/>
        <v>1.1945691347669391E-3</v>
      </c>
      <c r="D16" s="124">
        <f t="shared" si="4"/>
        <v>1.3438902766128066E-3</v>
      </c>
      <c r="E16" s="124">
        <f t="shared" si="5"/>
        <v>1.4876810057977159E-3</v>
      </c>
      <c r="F16" s="124">
        <f t="shared" si="6"/>
        <v>1.7752624641675346E-3</v>
      </c>
      <c r="G16" s="124">
        <f t="shared" si="7"/>
        <v>1.8526882414209472E-3</v>
      </c>
      <c r="H16" s="124">
        <f t="shared" si="8"/>
        <v>2.0351918592325631E-3</v>
      </c>
      <c r="I16" s="124">
        <f t="shared" si="9"/>
        <v>2.0739047478592694E-3</v>
      </c>
      <c r="J16" s="124">
        <f t="shared" si="10"/>
        <v>2.2840604289756754E-3</v>
      </c>
      <c r="K16" s="140">
        <f t="shared" si="2"/>
        <v>180818.33333333334</v>
      </c>
      <c r="L16" s="39">
        <v>2169820</v>
      </c>
      <c r="M16" s="36">
        <v>130800</v>
      </c>
      <c r="N16" s="36">
        <f t="shared" si="11"/>
        <v>2300620</v>
      </c>
      <c r="O16" s="65">
        <v>236</v>
      </c>
      <c r="P16" s="65">
        <v>263</v>
      </c>
      <c r="Q16" s="65">
        <v>289</v>
      </c>
      <c r="R16" s="65">
        <v>341</v>
      </c>
      <c r="S16" s="65">
        <v>355</v>
      </c>
      <c r="T16" s="65">
        <v>388</v>
      </c>
      <c r="U16" s="65">
        <v>395</v>
      </c>
      <c r="V16" s="65">
        <v>433</v>
      </c>
      <c r="W16" s="17"/>
    </row>
    <row r="17" spans="1:23">
      <c r="A17" s="65">
        <v>2006</v>
      </c>
      <c r="B17" s="88" t="s">
        <v>103</v>
      </c>
      <c r="C17" s="124">
        <f t="shared" si="3"/>
        <v>1.1819411828742944E-3</v>
      </c>
      <c r="D17" s="124">
        <f t="shared" si="4"/>
        <v>1.3350671660806806E-3</v>
      </c>
      <c r="E17" s="124">
        <f t="shared" si="5"/>
        <v>1.4834079623118673E-3</v>
      </c>
      <c r="F17" s="124">
        <f t="shared" si="6"/>
        <v>1.7848747417494404E-3</v>
      </c>
      <c r="G17" s="124">
        <f t="shared" si="7"/>
        <v>1.8518673594022344E-3</v>
      </c>
      <c r="H17" s="124">
        <f t="shared" si="8"/>
        <v>2.0384896514350176E-3</v>
      </c>
      <c r="I17" s="124">
        <f t="shared" si="9"/>
        <v>2.0815563342118141E-3</v>
      </c>
      <c r="J17" s="124">
        <f t="shared" si="10"/>
        <v>2.3016749350709942E-3</v>
      </c>
      <c r="K17" s="140">
        <f t="shared" si="2"/>
        <v>208978.25</v>
      </c>
      <c r="L17" s="64">
        <v>2507739</v>
      </c>
      <c r="M17" s="36">
        <v>130800</v>
      </c>
      <c r="N17" s="64">
        <v>2638539</v>
      </c>
      <c r="O17" s="70">
        <v>267</v>
      </c>
      <c r="P17" s="70">
        <v>299</v>
      </c>
      <c r="Q17" s="70">
        <v>330</v>
      </c>
      <c r="R17" s="70">
        <v>393</v>
      </c>
      <c r="S17" s="70">
        <v>407</v>
      </c>
      <c r="T17" s="70">
        <v>446</v>
      </c>
      <c r="U17" s="70">
        <v>455</v>
      </c>
      <c r="V17" s="70">
        <v>501</v>
      </c>
      <c r="W17" s="17"/>
    </row>
    <row r="18" spans="1:23">
      <c r="A18" s="65">
        <v>2007</v>
      </c>
      <c r="B18" s="88" t="s">
        <v>81</v>
      </c>
      <c r="C18" s="124">
        <f t="shared" si="3"/>
        <v>1.1841207091102997E-3</v>
      </c>
      <c r="D18" s="124">
        <f t="shared" si="4"/>
        <v>1.3373598597010445E-3</v>
      </c>
      <c r="E18" s="124">
        <f t="shared" si="5"/>
        <v>1.4813117890438651E-3</v>
      </c>
      <c r="F18" s="124">
        <f t="shared" si="6"/>
        <v>1.7831464796013924E-3</v>
      </c>
      <c r="G18" s="124">
        <f t="shared" si="7"/>
        <v>1.8528006389608219E-3</v>
      </c>
      <c r="H18" s="124">
        <f t="shared" si="8"/>
        <v>2.0385450639193005E-3</v>
      </c>
      <c r="I18" s="124">
        <f t="shared" si="9"/>
        <v>2.0803375595349581E-3</v>
      </c>
      <c r="J18" s="124">
        <f t="shared" si="10"/>
        <v>2.3032308694851322E-3</v>
      </c>
      <c r="K18" s="140">
        <f t="shared" si="2"/>
        <v>215349.66666666666</v>
      </c>
      <c r="L18" s="64">
        <v>2584196</v>
      </c>
      <c r="M18" s="36">
        <v>130800</v>
      </c>
      <c r="N18" s="36">
        <v>2714996</v>
      </c>
      <c r="O18" s="70">
        <v>275</v>
      </c>
      <c r="P18" s="70">
        <v>308</v>
      </c>
      <c r="Q18" s="70">
        <v>339</v>
      </c>
      <c r="R18" s="70">
        <v>404</v>
      </c>
      <c r="S18" s="70">
        <v>419</v>
      </c>
      <c r="T18" s="70">
        <v>459</v>
      </c>
      <c r="U18" s="70">
        <v>468</v>
      </c>
      <c r="V18" s="70">
        <v>516</v>
      </c>
      <c r="W18" s="17"/>
    </row>
    <row r="19" spans="1:23">
      <c r="A19" s="65">
        <v>2008</v>
      </c>
      <c r="B19" s="88" t="s">
        <v>87</v>
      </c>
      <c r="C19" s="124">
        <f t="shared" si="3"/>
        <v>1.18208235931515E-3</v>
      </c>
      <c r="D19" s="124">
        <f t="shared" si="4"/>
        <v>1.3366623601486695E-3</v>
      </c>
      <c r="E19" s="124">
        <f t="shared" si="5"/>
        <v>1.4776029491439374E-3</v>
      </c>
      <c r="F19" s="124">
        <f t="shared" si="6"/>
        <v>1.7822164801982261E-3</v>
      </c>
      <c r="G19" s="124">
        <f t="shared" si="7"/>
        <v>1.8504135393894847E-3</v>
      </c>
      <c r="H19" s="124">
        <f t="shared" si="8"/>
        <v>2.0368188345122585E-3</v>
      </c>
      <c r="I19" s="124">
        <f t="shared" si="9"/>
        <v>2.0777370700270133E-3</v>
      </c>
      <c r="J19" s="124">
        <f t="shared" si="10"/>
        <v>2.3005141300517918E-3</v>
      </c>
      <c r="K19" s="140">
        <f t="shared" si="2"/>
        <v>219950.83333333334</v>
      </c>
      <c r="L19" s="64">
        <v>2639410</v>
      </c>
      <c r="M19" s="36">
        <v>130800</v>
      </c>
      <c r="N19" s="36">
        <v>2770210</v>
      </c>
      <c r="O19" s="70">
        <v>280</v>
      </c>
      <c r="P19" s="70">
        <v>314</v>
      </c>
      <c r="Q19" s="70">
        <v>345</v>
      </c>
      <c r="R19" s="70">
        <v>412</v>
      </c>
      <c r="S19" s="70">
        <v>427</v>
      </c>
      <c r="T19" s="70">
        <v>468</v>
      </c>
      <c r="U19" s="70">
        <v>477</v>
      </c>
      <c r="V19" s="70">
        <v>526</v>
      </c>
      <c r="W19" s="17"/>
    </row>
    <row r="20" spans="1:23">
      <c r="A20" s="65" t="s">
        <v>93</v>
      </c>
      <c r="B20" s="88" t="s">
        <v>88</v>
      </c>
      <c r="C20" s="124">
        <f t="shared" si="3"/>
        <v>1.1807796750188688E-3</v>
      </c>
      <c r="D20" s="124">
        <f t="shared" si="4"/>
        <v>1.3364868849114668E-3</v>
      </c>
      <c r="E20" s="124">
        <f t="shared" si="5"/>
        <v>1.4748932937048874E-3</v>
      </c>
      <c r="F20" s="124">
        <f t="shared" si="6"/>
        <v>1.7819825132152892E-3</v>
      </c>
      <c r="G20" s="124">
        <f t="shared" si="7"/>
        <v>1.8468605173372048E-3</v>
      </c>
      <c r="H20" s="124">
        <f t="shared" si="8"/>
        <v>2.0328441291533636E-3</v>
      </c>
      <c r="I20" s="124">
        <f t="shared" si="9"/>
        <v>2.0760961319013075E-3</v>
      </c>
      <c r="J20" s="124">
        <f t="shared" si="10"/>
        <v>2.2966813459158217E-3</v>
      </c>
      <c r="K20" s="140">
        <f t="shared" si="2"/>
        <v>231203.16666666666</v>
      </c>
      <c r="L20" s="64">
        <v>2774438</v>
      </c>
      <c r="M20" s="36">
        <v>130800</v>
      </c>
      <c r="N20" s="36">
        <v>2905238</v>
      </c>
      <c r="O20" s="70">
        <v>293</v>
      </c>
      <c r="P20" s="70">
        <v>329</v>
      </c>
      <c r="Q20" s="70">
        <v>361</v>
      </c>
      <c r="R20" s="70">
        <v>432</v>
      </c>
      <c r="S20" s="70">
        <v>447</v>
      </c>
      <c r="T20" s="70">
        <v>490</v>
      </c>
      <c r="U20" s="70">
        <v>500</v>
      </c>
      <c r="V20" s="70">
        <v>551</v>
      </c>
      <c r="W20" s="17"/>
    </row>
    <row r="21" spans="1:23">
      <c r="A21" s="65" t="s">
        <v>92</v>
      </c>
      <c r="B21" s="88" t="s">
        <v>81</v>
      </c>
      <c r="C21" s="124">
        <f t="shared" si="3"/>
        <v>1.1841811041229029E-3</v>
      </c>
      <c r="D21" s="124">
        <f t="shared" si="4"/>
        <v>1.3395523837418653E-3</v>
      </c>
      <c r="E21" s="124">
        <f t="shared" si="5"/>
        <v>1.4823259920403713E-3</v>
      </c>
      <c r="F21" s="124">
        <f t="shared" si="6"/>
        <v>1.7888693275048108E-3</v>
      </c>
      <c r="G21" s="124">
        <f t="shared" si="7"/>
        <v>1.8476584603336072E-3</v>
      </c>
      <c r="H21" s="124">
        <f t="shared" si="8"/>
        <v>2.0366235301404537E-3</v>
      </c>
      <c r="I21" s="124">
        <f t="shared" si="9"/>
        <v>2.0828149916487936E-3</v>
      </c>
      <c r="J21" s="124">
        <f t="shared" si="10"/>
        <v>2.2969754040965528E-3</v>
      </c>
      <c r="K21" s="140">
        <f t="shared" si="2"/>
        <v>238139.25</v>
      </c>
      <c r="L21" s="36">
        <v>2857671</v>
      </c>
      <c r="M21" s="36">
        <v>130800</v>
      </c>
      <c r="N21" s="36">
        <v>2988471</v>
      </c>
      <c r="O21" s="70">
        <v>302</v>
      </c>
      <c r="P21" s="70">
        <v>339</v>
      </c>
      <c r="Q21" s="70">
        <v>373</v>
      </c>
      <c r="R21" s="70">
        <v>446</v>
      </c>
      <c r="S21" s="70">
        <v>460</v>
      </c>
      <c r="T21" s="70">
        <v>505</v>
      </c>
      <c r="U21" s="70">
        <v>516</v>
      </c>
      <c r="V21" s="70">
        <v>567</v>
      </c>
      <c r="W21" s="17"/>
    </row>
    <row r="22" spans="1:23">
      <c r="A22" s="65" t="s">
        <v>91</v>
      </c>
      <c r="B22" s="88" t="s">
        <v>88</v>
      </c>
      <c r="C22" s="124">
        <f t="shared" ref="C22:C23" si="23">(O22-20)/($K22)</f>
        <v>1.1881223886478116E-3</v>
      </c>
      <c r="D22" s="124">
        <f t="shared" ref="D22:D24" si="24">(P22-20)/($K22)</f>
        <v>1.3446655412061382E-3</v>
      </c>
      <c r="E22" s="124">
        <f t="shared" ref="E22:E24" si="25">(Q22-20)/($K22)</f>
        <v>1.4891669127984396E-3</v>
      </c>
      <c r="F22" s="124">
        <f t="shared" ref="F22:F24" si="26">(R22-20)/($K22)</f>
        <v>1.7942253639377426E-3</v>
      </c>
      <c r="G22" s="124">
        <f t="shared" ref="G22:G24" si="27">(S22-20)/($K22)</f>
        <v>1.8544342687678683E-3</v>
      </c>
      <c r="H22" s="124">
        <f t="shared" ref="H22:H24" si="28">(T22-20)/($K22)</f>
        <v>2.0430888372355949E-3</v>
      </c>
      <c r="I22" s="124">
        <f t="shared" ref="I22:I24" si="29">(U22-20)/($K22)</f>
        <v>2.0912559610996957E-3</v>
      </c>
      <c r="J22" s="124">
        <f t="shared" ref="J22:J24" si="30">(V22-20)/($K22)</f>
        <v>2.3039940914994727E-3</v>
      </c>
      <c r="K22" s="140">
        <f t="shared" si="2"/>
        <v>249132.58333333334</v>
      </c>
      <c r="L22" s="36">
        <v>2989591</v>
      </c>
      <c r="M22" s="36">
        <v>130800</v>
      </c>
      <c r="N22" s="94">
        <v>3120391</v>
      </c>
      <c r="O22" s="70">
        <v>316</v>
      </c>
      <c r="P22" s="70">
        <v>355</v>
      </c>
      <c r="Q22" s="70">
        <v>391</v>
      </c>
      <c r="R22" s="70">
        <v>467</v>
      </c>
      <c r="S22" s="70">
        <v>482</v>
      </c>
      <c r="T22" s="70">
        <v>529</v>
      </c>
      <c r="U22" s="70">
        <v>541</v>
      </c>
      <c r="V22" s="70">
        <v>594</v>
      </c>
      <c r="W22" s="17"/>
    </row>
    <row r="23" spans="1:23">
      <c r="A23" s="65">
        <v>2017</v>
      </c>
      <c r="B23" s="88" t="s">
        <v>97</v>
      </c>
      <c r="C23" s="124">
        <f t="shared" si="23"/>
        <v>1.1852105613588204E-3</v>
      </c>
      <c r="D23" s="124">
        <f t="shared" si="24"/>
        <v>1.3385419976185279E-3</v>
      </c>
      <c r="E23" s="124">
        <f t="shared" si="25"/>
        <v>1.4835852481344676E-3</v>
      </c>
      <c r="F23" s="124">
        <f t="shared" si="26"/>
        <v>1.7861040277819984E-3</v>
      </c>
      <c r="G23" s="124">
        <f t="shared" si="27"/>
        <v>1.8482654208602583E-3</v>
      </c>
      <c r="H23" s="124">
        <f t="shared" si="28"/>
        <v>2.0347496000950377E-3</v>
      </c>
      <c r="I23" s="124">
        <f t="shared" si="29"/>
        <v>2.0844787145576455E-3</v>
      </c>
      <c r="J23" s="124">
        <f t="shared" si="30"/>
        <v>2.2958274510237291E-3</v>
      </c>
      <c r="K23" s="140">
        <f t="shared" si="2"/>
        <v>241307.33333333334</v>
      </c>
      <c r="L23" s="39">
        <v>2895688</v>
      </c>
      <c r="M23" s="36">
        <v>130800</v>
      </c>
      <c r="N23" s="94">
        <v>3026488</v>
      </c>
      <c r="O23" s="37">
        <v>306</v>
      </c>
      <c r="P23" s="37">
        <v>343</v>
      </c>
      <c r="Q23" s="37">
        <v>378</v>
      </c>
      <c r="R23" s="37">
        <v>451</v>
      </c>
      <c r="S23" s="37">
        <v>466</v>
      </c>
      <c r="T23" s="37">
        <v>511</v>
      </c>
      <c r="U23" s="37">
        <v>523</v>
      </c>
      <c r="V23" s="37">
        <v>574</v>
      </c>
    </row>
    <row r="24" spans="1:23">
      <c r="A24" s="65">
        <v>2018</v>
      </c>
      <c r="B24" s="88" t="s">
        <v>98</v>
      </c>
      <c r="C24" s="124">
        <f>(O24-20)/($K24)</f>
        <v>1.1840266349610645E-3</v>
      </c>
      <c r="D24" s="124">
        <f t="shared" si="24"/>
        <v>1.3404872974380625E-3</v>
      </c>
      <c r="E24" s="124">
        <f t="shared" si="25"/>
        <v>1.484261960254763E-3</v>
      </c>
      <c r="F24" s="124">
        <f t="shared" si="26"/>
        <v>1.7844972855484617E-3</v>
      </c>
      <c r="G24" s="124">
        <f t="shared" si="27"/>
        <v>1.8479272838499473E-3</v>
      </c>
      <c r="H24" s="124">
        <f t="shared" si="28"/>
        <v>2.0339886122009718E-3</v>
      </c>
      <c r="I24" s="124">
        <f t="shared" si="29"/>
        <v>2.08473261084216E-3</v>
      </c>
      <c r="J24" s="124">
        <f t="shared" si="30"/>
        <v>2.296165938513779E-3</v>
      </c>
      <c r="K24" s="140">
        <f t="shared" si="2"/>
        <v>236481.16666666666</v>
      </c>
      <c r="L24" s="69">
        <v>2837774</v>
      </c>
      <c r="M24" s="36">
        <v>130800</v>
      </c>
      <c r="N24" s="120">
        <v>2968574</v>
      </c>
      <c r="O24" s="37">
        <v>300</v>
      </c>
      <c r="P24" s="37">
        <v>337</v>
      </c>
      <c r="Q24" s="37">
        <v>371</v>
      </c>
      <c r="R24" s="37">
        <v>442</v>
      </c>
      <c r="S24" s="37">
        <v>457</v>
      </c>
      <c r="T24" s="37">
        <v>501</v>
      </c>
      <c r="U24" s="37">
        <v>513</v>
      </c>
      <c r="V24" s="37">
        <v>563</v>
      </c>
    </row>
    <row r="25" spans="1:23" ht="16.5" thickBot="1">
      <c r="C25" s="134"/>
      <c r="D25" s="125"/>
      <c r="O25" s="119"/>
      <c r="P25" s="45"/>
    </row>
    <row r="26" spans="1:23">
      <c r="C26" s="124"/>
      <c r="D26" s="125"/>
      <c r="G26" s="126"/>
      <c r="H26" s="127" t="s">
        <v>57</v>
      </c>
      <c r="I26" s="164" t="s">
        <v>58</v>
      </c>
      <c r="J26" s="127" t="s">
        <v>59</v>
      </c>
      <c r="K26" s="137"/>
      <c r="N26" s="44"/>
      <c r="O26" s="86"/>
    </row>
    <row r="27" spans="1:23">
      <c r="C27" s="134"/>
      <c r="D27" s="125"/>
      <c r="G27" s="128" t="s">
        <v>4</v>
      </c>
      <c r="H27" s="129">
        <v>1973</v>
      </c>
      <c r="I27" s="165" t="s">
        <v>53</v>
      </c>
      <c r="J27" s="129">
        <v>2016</v>
      </c>
      <c r="K27" s="138"/>
      <c r="O27" s="86"/>
    </row>
    <row r="28" spans="1:23" ht="16.5" thickBot="1">
      <c r="C28" s="134"/>
      <c r="D28" s="125"/>
      <c r="G28" s="130" t="s">
        <v>5</v>
      </c>
      <c r="H28" s="131" t="s">
        <v>54</v>
      </c>
      <c r="I28" s="166" t="s">
        <v>55</v>
      </c>
      <c r="J28" s="131" t="s">
        <v>56</v>
      </c>
      <c r="K28" s="138"/>
      <c r="O28" s="86"/>
    </row>
    <row r="29" spans="1:23" ht="16.5" thickBot="1">
      <c r="C29" s="134"/>
      <c r="D29" s="125"/>
      <c r="G29" s="132" t="s">
        <v>17</v>
      </c>
      <c r="H29" s="133">
        <v>1.2340000000000001E-3</v>
      </c>
      <c r="I29" s="167">
        <v>7.94E-4</v>
      </c>
      <c r="J29" s="133">
        <v>1.1839999999999999E-3</v>
      </c>
      <c r="K29" s="139"/>
      <c r="O29" s="86"/>
    </row>
    <row r="30" spans="1:23" ht="16.5" thickBot="1">
      <c r="C30" s="134"/>
      <c r="D30" s="125"/>
      <c r="G30" s="132" t="s">
        <v>18</v>
      </c>
      <c r="H30" s="133">
        <v>1.372E-3</v>
      </c>
      <c r="I30" s="167">
        <v>1.0280000000000001E-3</v>
      </c>
      <c r="J30" s="133">
        <v>1.3389999999999999E-3</v>
      </c>
      <c r="K30" s="139"/>
      <c r="O30" s="86"/>
    </row>
    <row r="31" spans="1:23" ht="16.5" thickBot="1">
      <c r="C31" s="134"/>
      <c r="D31" s="125"/>
      <c r="G31" s="132" t="s">
        <v>19</v>
      </c>
      <c r="H31" s="133">
        <v>1.5089999999999999E-3</v>
      </c>
      <c r="I31" s="167">
        <v>1.4139999999999999E-3</v>
      </c>
      <c r="J31" s="133">
        <v>1.4829999999999999E-3</v>
      </c>
      <c r="K31" s="139"/>
      <c r="O31" s="86"/>
    </row>
    <row r="32" spans="1:23" ht="16.5" thickBot="1">
      <c r="C32" s="134"/>
      <c r="D32" s="125"/>
      <c r="G32" s="132" t="s">
        <v>20</v>
      </c>
      <c r="H32" s="133">
        <v>1.7830000000000001E-3</v>
      </c>
      <c r="I32" s="167">
        <v>1.6620000000000001E-3</v>
      </c>
      <c r="J32" s="133">
        <v>1.787E-3</v>
      </c>
      <c r="K32" s="139"/>
      <c r="O32" s="86"/>
    </row>
    <row r="33" spans="7:15" ht="16.5" thickBot="1">
      <c r="G33" s="132" t="s">
        <v>21</v>
      </c>
      <c r="H33" s="133">
        <v>1.8519999999999999E-3</v>
      </c>
      <c r="I33" s="167">
        <v>1.8420000000000001E-3</v>
      </c>
      <c r="J33" s="133">
        <v>1.8469999999999999E-3</v>
      </c>
      <c r="K33" s="139"/>
      <c r="O33" s="86"/>
    </row>
    <row r="34" spans="7:15" ht="16.5" thickBot="1">
      <c r="G34" s="132" t="s">
        <v>22</v>
      </c>
      <c r="H34" s="133">
        <v>2.0230000000000001E-3</v>
      </c>
      <c r="I34" s="167">
        <v>2.0939999999999999E-3</v>
      </c>
      <c r="J34" s="133">
        <v>2.0349999999999999E-3</v>
      </c>
      <c r="K34" s="139"/>
    </row>
    <row r="35" spans="7:15" ht="16.5" thickBot="1">
      <c r="G35" s="132" t="s">
        <v>39</v>
      </c>
      <c r="H35" s="133">
        <v>2.0579999999999999E-3</v>
      </c>
      <c r="I35" s="167">
        <v>2.163E-3</v>
      </c>
      <c r="J35" s="133">
        <v>2.0830000000000002E-3</v>
      </c>
      <c r="K35" s="139"/>
    </row>
    <row r="36" spans="7:15" ht="16.5" thickBot="1">
      <c r="G36" s="132" t="s">
        <v>24</v>
      </c>
      <c r="H36" s="133">
        <v>2.264E-3</v>
      </c>
      <c r="I36" s="167">
        <v>2.4139999999999999E-3</v>
      </c>
      <c r="J36" s="133">
        <v>2.2950000000000002E-3</v>
      </c>
      <c r="K36" s="139"/>
    </row>
  </sheetData>
  <pageMargins left="0.7" right="0.7" top="0.75" bottom="0.75" header="0.3" footer="0.3"/>
  <pageSetup orientation="portrait" horizontalDpi="0" verticalDpi="0" r:id="rId1"/>
  <ignoredErrors>
    <ignoredError sqref="B8:B10 B11 B14 B21:B24 B17:B18 B20 B19 B16 C5:J5" numberStoredAsText="1"/>
    <ignoredError sqref="C13" 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34"/>
  <sheetViews>
    <sheetView workbookViewId="0">
      <pane ySplit="4" topLeftCell="A5" activePane="bottomLeft" state="frozen"/>
      <selection pane="bottomLeft" sqref="A1:XFD1048576"/>
    </sheetView>
  </sheetViews>
  <sheetFormatPr defaultRowHeight="15.75"/>
  <cols>
    <col min="1" max="1" width="10.7109375" style="65" customWidth="1"/>
    <col min="2" max="2" width="6.5703125" style="88" customWidth="1"/>
    <col min="3" max="3" width="9.7109375" bestFit="1" customWidth="1"/>
    <col min="4" max="4" width="11.28515625" bestFit="1" customWidth="1"/>
    <col min="5" max="5" width="12" bestFit="1" customWidth="1"/>
    <col min="6" max="6" width="10.28515625" bestFit="1" customWidth="1"/>
    <col min="7" max="7" width="9.5703125" bestFit="1" customWidth="1"/>
    <col min="8" max="8" width="9.7109375" bestFit="1" customWidth="1"/>
    <col min="9" max="9" width="10.28515625" bestFit="1" customWidth="1"/>
    <col min="10" max="10" width="9.7109375" bestFit="1" customWidth="1"/>
    <col min="11" max="11" width="9.5703125" customWidth="1"/>
    <col min="12" max="12" width="9.85546875" style="68" customWidth="1"/>
    <col min="13" max="13" width="8.42578125" bestFit="1" customWidth="1"/>
    <col min="14" max="14" width="10.140625" bestFit="1" customWidth="1"/>
    <col min="15" max="15" width="7.28515625" style="38" customWidth="1"/>
    <col min="16" max="22" width="7.28515625" customWidth="1"/>
    <col min="25" max="25" width="12.140625" customWidth="1"/>
  </cols>
  <sheetData>
    <row r="1" spans="1:25">
      <c r="L1" s="3" t="s">
        <v>123</v>
      </c>
      <c r="N1" s="3" t="s">
        <v>123</v>
      </c>
    </row>
    <row r="2" spans="1:25" s="3" customFormat="1">
      <c r="A2" s="65"/>
      <c r="B2" s="88"/>
      <c r="C2" s="20" t="s">
        <v>17</v>
      </c>
      <c r="D2" s="20" t="s">
        <v>37</v>
      </c>
      <c r="E2" s="20" t="s">
        <v>19</v>
      </c>
      <c r="F2" s="20" t="s">
        <v>20</v>
      </c>
      <c r="G2" s="20" t="s">
        <v>21</v>
      </c>
      <c r="H2" s="20" t="s">
        <v>38</v>
      </c>
      <c r="I2" s="20" t="s">
        <v>39</v>
      </c>
      <c r="J2" s="20" t="s">
        <v>40</v>
      </c>
      <c r="K2" s="20" t="s">
        <v>31</v>
      </c>
      <c r="L2" s="20" t="s">
        <v>15</v>
      </c>
      <c r="M2" s="20" t="s">
        <v>14</v>
      </c>
      <c r="N2" s="20" t="s">
        <v>15</v>
      </c>
      <c r="O2" s="20" t="s">
        <v>17</v>
      </c>
      <c r="P2" s="20" t="s">
        <v>41</v>
      </c>
      <c r="Q2" s="20" t="s">
        <v>19</v>
      </c>
      <c r="R2" s="20" t="s">
        <v>42</v>
      </c>
      <c r="S2" s="20" t="s">
        <v>21</v>
      </c>
      <c r="T2" s="20" t="s">
        <v>43</v>
      </c>
      <c r="U2" s="20" t="s">
        <v>39</v>
      </c>
      <c r="V2" s="20" t="s">
        <v>44</v>
      </c>
      <c r="W2" s="20"/>
    </row>
    <row r="3" spans="1:25" s="3" customFormat="1">
      <c r="A3" s="65"/>
      <c r="B3" s="88"/>
      <c r="C3" s="20">
        <v>5</v>
      </c>
      <c r="D3" s="20">
        <v>5</v>
      </c>
      <c r="E3" s="20">
        <v>131</v>
      </c>
      <c r="F3" s="20">
        <v>13</v>
      </c>
      <c r="G3" s="20">
        <v>206</v>
      </c>
      <c r="H3" s="20">
        <v>11</v>
      </c>
      <c r="I3" s="20">
        <v>153</v>
      </c>
      <c r="J3" s="20">
        <v>21</v>
      </c>
      <c r="K3" s="20" t="s">
        <v>124</v>
      </c>
      <c r="L3" s="20" t="s">
        <v>124</v>
      </c>
      <c r="M3" s="20" t="s">
        <v>70</v>
      </c>
      <c r="N3" s="20" t="s">
        <v>125</v>
      </c>
      <c r="O3" s="20">
        <v>5</v>
      </c>
      <c r="P3" s="20">
        <v>5</v>
      </c>
      <c r="Q3" s="20">
        <v>131</v>
      </c>
      <c r="R3" s="20">
        <v>13</v>
      </c>
      <c r="S3" s="20">
        <v>206</v>
      </c>
      <c r="T3" s="20">
        <v>11</v>
      </c>
      <c r="U3" s="20">
        <v>153</v>
      </c>
      <c r="V3" s="20">
        <v>21</v>
      </c>
      <c r="W3" s="20"/>
    </row>
    <row r="4" spans="1:25" s="3" customFormat="1">
      <c r="A4" s="65" t="s">
        <v>121</v>
      </c>
      <c r="B4" s="122" t="s">
        <v>122</v>
      </c>
      <c r="C4" s="18">
        <v>1.23E-3</v>
      </c>
      <c r="D4" s="18">
        <v>1.3699999999999999E-3</v>
      </c>
      <c r="E4" s="18">
        <v>1.5100000000000001E-3</v>
      </c>
      <c r="F4" s="18">
        <v>1.7799999999999999E-3</v>
      </c>
      <c r="G4" s="18">
        <v>1.8500000000000001E-3</v>
      </c>
      <c r="H4" s="18">
        <v>2.0219999999999999E-3</v>
      </c>
      <c r="I4" s="18">
        <v>2.0600000000000002E-3</v>
      </c>
      <c r="J4" s="18">
        <v>2.2599999999999999E-3</v>
      </c>
      <c r="K4" s="18"/>
      <c r="L4" s="65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5" s="3" customFormat="1">
      <c r="A5" s="65">
        <v>1988</v>
      </c>
      <c r="B5" s="88"/>
      <c r="C5" s="124">
        <f>(O5)/(N5/12)</f>
        <v>1.2328366029187407E-3</v>
      </c>
      <c r="D5" s="124">
        <f t="shared" ref="D5:J5" si="0">(P5)/($N$5/12)</f>
        <v>1.3715307207470991E-3</v>
      </c>
      <c r="E5" s="124">
        <f t="shared" si="0"/>
        <v>1.5102248385754572E-3</v>
      </c>
      <c r="F5" s="124">
        <f t="shared" si="0"/>
        <v>1.7799078454639318E-3</v>
      </c>
      <c r="G5" s="124">
        <f t="shared" si="0"/>
        <v>1.8492549043781111E-3</v>
      </c>
      <c r="H5" s="124">
        <f t="shared" si="0"/>
        <v>2.0187699372794378E-3</v>
      </c>
      <c r="I5" s="124">
        <f t="shared" si="0"/>
        <v>2.0611486955047697E-3</v>
      </c>
      <c r="J5" s="124">
        <f t="shared" si="0"/>
        <v>2.261484643479065E-3</v>
      </c>
      <c r="K5" s="140">
        <f>L5/12</f>
        <v>121607</v>
      </c>
      <c r="L5" s="64">
        <v>1459284</v>
      </c>
      <c r="M5" s="36">
        <v>98100</v>
      </c>
      <c r="N5" s="120">
        <v>1557384</v>
      </c>
      <c r="O5" s="84">
        <v>160</v>
      </c>
      <c r="P5" s="84">
        <v>178</v>
      </c>
      <c r="Q5" s="84">
        <v>196</v>
      </c>
      <c r="R5" s="84">
        <v>231</v>
      </c>
      <c r="S5" s="84">
        <v>240</v>
      </c>
      <c r="T5" s="84">
        <v>262</v>
      </c>
      <c r="U5" s="84">
        <v>267.5</v>
      </c>
      <c r="V5" s="84">
        <v>293.5</v>
      </c>
      <c r="W5" s="20"/>
    </row>
    <row r="6" spans="1:25" s="3" customFormat="1">
      <c r="A6" s="65" t="s">
        <v>71</v>
      </c>
      <c r="B6" s="88" t="s">
        <v>81</v>
      </c>
      <c r="C6" s="124">
        <f t="shared" ref="C6:C22" si="1">(O6)/(N6/12)</f>
        <v>1.2312054620751409E-3</v>
      </c>
      <c r="D6" s="124">
        <f t="shared" ref="D6:J21" si="2">(P6)/($N6/12)</f>
        <v>1.3692497108532627E-3</v>
      </c>
      <c r="E6" s="124">
        <f t="shared" si="2"/>
        <v>1.5110248852740365E-3</v>
      </c>
      <c r="F6" s="124">
        <f t="shared" si="2"/>
        <v>1.7796515315449764E-3</v>
      </c>
      <c r="G6" s="124">
        <f t="shared" si="2"/>
        <v>1.8505391187553632E-3</v>
      </c>
      <c r="H6" s="124">
        <f t="shared" si="2"/>
        <v>2.0184307726747006E-3</v>
      </c>
      <c r="I6" s="124">
        <f t="shared" si="2"/>
        <v>2.0594709547438719E-3</v>
      </c>
      <c r="J6" s="124">
        <f t="shared" si="2"/>
        <v>2.257210013804425E-3</v>
      </c>
      <c r="K6" s="140">
        <f t="shared" ref="K6:K22" si="3">L6/12</f>
        <v>125840</v>
      </c>
      <c r="L6" s="64">
        <v>1510080</v>
      </c>
      <c r="M6" s="36">
        <v>98100</v>
      </c>
      <c r="N6" s="120">
        <v>1608180</v>
      </c>
      <c r="O6" s="84">
        <v>165</v>
      </c>
      <c r="P6" s="84">
        <v>183.5</v>
      </c>
      <c r="Q6" s="84">
        <v>202.5</v>
      </c>
      <c r="R6" s="84">
        <v>238.5</v>
      </c>
      <c r="S6" s="84">
        <v>248</v>
      </c>
      <c r="T6" s="84">
        <v>270.5</v>
      </c>
      <c r="U6" s="84">
        <v>276</v>
      </c>
      <c r="V6" s="84">
        <v>302.5</v>
      </c>
      <c r="W6" s="20"/>
    </row>
    <row r="7" spans="1:25" s="3" customFormat="1">
      <c r="A7" s="143" t="s">
        <v>80</v>
      </c>
      <c r="B7" s="144" t="s">
        <v>85</v>
      </c>
      <c r="C7" s="145">
        <f t="shared" si="1"/>
        <v>1.2298945383844931E-3</v>
      </c>
      <c r="D7" s="145">
        <f t="shared" si="2"/>
        <v>1.3698226595180581E-3</v>
      </c>
      <c r="E7" s="145">
        <f t="shared" si="2"/>
        <v>1.5097507806516232E-3</v>
      </c>
      <c r="F7" s="145">
        <f t="shared" si="2"/>
        <v>1.7822423849643552E-3</v>
      </c>
      <c r="G7" s="145">
        <f t="shared" si="2"/>
        <v>1.8485241265539386E-3</v>
      </c>
      <c r="H7" s="145">
        <f t="shared" si="2"/>
        <v>2.0252754374594944E-3</v>
      </c>
      <c r="I7" s="145">
        <f t="shared" si="2"/>
        <v>2.0620986272314851E-3</v>
      </c>
      <c r="J7" s="145">
        <f t="shared" si="2"/>
        <v>2.2609438520002356E-3</v>
      </c>
      <c r="K7" s="146">
        <f t="shared" si="3"/>
        <v>127609</v>
      </c>
      <c r="L7" s="147">
        <v>1531308</v>
      </c>
      <c r="M7" s="147">
        <v>98100</v>
      </c>
      <c r="N7" s="148">
        <v>1629408</v>
      </c>
      <c r="O7" s="143">
        <v>167</v>
      </c>
      <c r="P7" s="143">
        <v>186</v>
      </c>
      <c r="Q7" s="143">
        <v>205</v>
      </c>
      <c r="R7" s="143">
        <v>242</v>
      </c>
      <c r="S7" s="143">
        <v>251</v>
      </c>
      <c r="T7" s="143">
        <v>275</v>
      </c>
      <c r="U7" s="143">
        <v>280</v>
      </c>
      <c r="V7" s="143">
        <v>307</v>
      </c>
      <c r="W7" s="20"/>
    </row>
    <row r="8" spans="1:25" s="17" customFormat="1">
      <c r="A8" s="65">
        <v>1998</v>
      </c>
      <c r="B8" s="88" t="s">
        <v>86</v>
      </c>
      <c r="C8" s="124">
        <f t="shared" si="1"/>
        <v>1.2402785661040183E-3</v>
      </c>
      <c r="D8" s="124">
        <f t="shared" si="2"/>
        <v>1.3719282463050034E-3</v>
      </c>
      <c r="E8" s="124">
        <f t="shared" si="2"/>
        <v>1.5105068570428826E-3</v>
      </c>
      <c r="F8" s="124">
        <f t="shared" si="2"/>
        <v>1.780735147981747E-3</v>
      </c>
      <c r="G8" s="124">
        <f t="shared" si="2"/>
        <v>1.8500244533506867E-3</v>
      </c>
      <c r="H8" s="124">
        <f t="shared" si="2"/>
        <v>2.0232477167730356E-3</v>
      </c>
      <c r="I8" s="124">
        <f t="shared" si="2"/>
        <v>2.0578923694575054E-3</v>
      </c>
      <c r="J8" s="124">
        <f t="shared" si="2"/>
        <v>2.25883135502743E-3</v>
      </c>
      <c r="K8" s="140">
        <f t="shared" si="3"/>
        <v>133422.41666666666</v>
      </c>
      <c r="L8" s="63">
        <v>1601069</v>
      </c>
      <c r="M8" s="36">
        <v>130800</v>
      </c>
      <c r="N8" s="123">
        <v>1731869</v>
      </c>
      <c r="O8" s="70">
        <v>179</v>
      </c>
      <c r="P8" s="85">
        <v>198</v>
      </c>
      <c r="Q8" s="85">
        <v>218</v>
      </c>
      <c r="R8" s="85">
        <v>257</v>
      </c>
      <c r="S8" s="85">
        <v>267</v>
      </c>
      <c r="T8" s="85">
        <v>292</v>
      </c>
      <c r="U8" s="85">
        <v>297</v>
      </c>
      <c r="V8" s="85">
        <v>326</v>
      </c>
      <c r="X8" s="86"/>
    </row>
    <row r="9" spans="1:25">
      <c r="A9" s="65" t="s">
        <v>128</v>
      </c>
      <c r="B9" s="88" t="s">
        <v>87</v>
      </c>
      <c r="C9" s="124">
        <f t="shared" si="1"/>
        <v>1.2272864425531625E-3</v>
      </c>
      <c r="D9" s="124">
        <f t="shared" si="2"/>
        <v>1.369678792241651E-3</v>
      </c>
      <c r="E9" s="124">
        <f t="shared" si="2"/>
        <v>1.5120711419301395E-3</v>
      </c>
      <c r="F9" s="124">
        <f t="shared" si="2"/>
        <v>1.783294665146308E-3</v>
      </c>
      <c r="G9" s="124">
        <f t="shared" si="2"/>
        <v>1.8511005459503501E-3</v>
      </c>
      <c r="H9" s="124">
        <f t="shared" si="2"/>
        <v>2.0206152479604555E-3</v>
      </c>
      <c r="I9" s="124">
        <f t="shared" si="2"/>
        <v>2.0612987764428809E-3</v>
      </c>
      <c r="J9" s="124">
        <f t="shared" si="2"/>
        <v>2.2579358307746027E-3</v>
      </c>
      <c r="K9" s="140">
        <f t="shared" si="3"/>
        <v>136579.83333333334</v>
      </c>
      <c r="L9" s="63">
        <v>1638958</v>
      </c>
      <c r="M9" s="36">
        <v>130800</v>
      </c>
      <c r="N9" s="94">
        <f t="shared" ref="N9:N14" si="4">L9+M9</f>
        <v>1769758</v>
      </c>
      <c r="O9" s="65">
        <v>181</v>
      </c>
      <c r="P9" s="65">
        <v>202</v>
      </c>
      <c r="Q9" s="65">
        <v>223</v>
      </c>
      <c r="R9" s="65">
        <v>263</v>
      </c>
      <c r="S9" s="65">
        <v>273</v>
      </c>
      <c r="T9" s="65">
        <v>298</v>
      </c>
      <c r="U9" s="65">
        <v>304</v>
      </c>
      <c r="V9" s="65">
        <v>333</v>
      </c>
      <c r="W9" s="17"/>
      <c r="X9" s="86"/>
      <c r="Y9" s="87"/>
    </row>
    <row r="10" spans="1:25">
      <c r="C10" s="124">
        <f t="shared" si="1"/>
        <v>1.4283986850179514E-3</v>
      </c>
      <c r="D10" s="124">
        <f t="shared" si="2"/>
        <v>1.5793345756877492E-3</v>
      </c>
      <c r="E10" s="124">
        <f t="shared" si="2"/>
        <v>1.7302704663575471E-3</v>
      </c>
      <c r="F10" s="124">
        <f t="shared" si="2"/>
        <v>2.0177674009666858E-3</v>
      </c>
      <c r="G10" s="124">
        <f t="shared" si="2"/>
        <v>2.0896416346189704E-3</v>
      </c>
      <c r="H10" s="124">
        <f t="shared" si="2"/>
        <v>2.2693272187496822E-3</v>
      </c>
      <c r="I10" s="124">
        <f t="shared" si="2"/>
        <v>2.3124517589410529E-3</v>
      </c>
      <c r="J10" s="124">
        <f t="shared" si="2"/>
        <v>2.5208870365326782E-3</v>
      </c>
      <c r="K10" s="140">
        <f t="shared" si="3"/>
        <v>136579.83333333334</v>
      </c>
      <c r="L10" s="63">
        <v>1638958</v>
      </c>
      <c r="M10" s="36">
        <v>130800</v>
      </c>
      <c r="N10" s="94">
        <f t="shared" si="4"/>
        <v>1769758</v>
      </c>
      <c r="O10" s="85">
        <f>0.06*(O9-20)+O9+20</f>
        <v>210.66</v>
      </c>
      <c r="P10" s="85">
        <f t="shared" ref="P10:V10" si="5">0.06*(P9-20)+P9+20</f>
        <v>232.92</v>
      </c>
      <c r="Q10" s="85">
        <f t="shared" si="5"/>
        <v>255.18</v>
      </c>
      <c r="R10" s="85">
        <f t="shared" si="5"/>
        <v>297.58</v>
      </c>
      <c r="S10" s="85">
        <f t="shared" si="5"/>
        <v>308.18</v>
      </c>
      <c r="T10" s="85">
        <f t="shared" si="5"/>
        <v>334.68</v>
      </c>
      <c r="U10" s="85">
        <f t="shared" si="5"/>
        <v>341.04</v>
      </c>
      <c r="V10" s="85">
        <f t="shared" si="5"/>
        <v>371.78</v>
      </c>
      <c r="W10" s="17"/>
      <c r="X10" s="86"/>
      <c r="Y10" s="87"/>
    </row>
    <row r="11" spans="1:25">
      <c r="A11" s="65">
        <v>2001</v>
      </c>
      <c r="B11" s="88" t="s">
        <v>86</v>
      </c>
      <c r="C11" s="124">
        <f t="shared" si="1"/>
        <v>1.3570535430513446E-3</v>
      </c>
      <c r="D11" s="124">
        <f t="shared" si="2"/>
        <v>1.3699166098101252E-3</v>
      </c>
      <c r="E11" s="124">
        <f t="shared" si="2"/>
        <v>1.5049788107773206E-3</v>
      </c>
      <c r="F11" s="124">
        <f t="shared" si="2"/>
        <v>1.7879662794704919E-3</v>
      </c>
      <c r="G11" s="124">
        <f t="shared" si="2"/>
        <v>1.9809122808521996E-3</v>
      </c>
      <c r="H11" s="124">
        <f t="shared" si="2"/>
        <v>2.0259330145079315E-3</v>
      </c>
      <c r="I11" s="124">
        <f t="shared" si="2"/>
        <v>2.0645222147842729E-3</v>
      </c>
      <c r="J11" s="124">
        <f t="shared" si="2"/>
        <v>2.2638997495453713E-3</v>
      </c>
      <c r="K11" s="140">
        <f t="shared" si="3"/>
        <v>144583.91666666666</v>
      </c>
      <c r="L11" s="64">
        <v>1735007</v>
      </c>
      <c r="M11" s="36">
        <v>130800</v>
      </c>
      <c r="N11" s="36">
        <f t="shared" si="4"/>
        <v>1865807</v>
      </c>
      <c r="O11" s="65">
        <v>211</v>
      </c>
      <c r="P11" s="12">
        <v>213</v>
      </c>
      <c r="Q11" s="12">
        <v>234</v>
      </c>
      <c r="R11" s="12">
        <v>278</v>
      </c>
      <c r="S11" s="12">
        <v>308</v>
      </c>
      <c r="T11" s="12">
        <v>315</v>
      </c>
      <c r="U11" s="12">
        <v>321</v>
      </c>
      <c r="V11" s="12">
        <v>352</v>
      </c>
      <c r="W11" s="17"/>
      <c r="X11" s="86"/>
      <c r="Y11" s="87"/>
    </row>
    <row r="12" spans="1:25">
      <c r="A12" s="65">
        <v>2002</v>
      </c>
      <c r="B12" s="88" t="s">
        <v>89</v>
      </c>
      <c r="C12" s="124">
        <f t="shared" si="1"/>
        <v>1.2271774917689314E-3</v>
      </c>
      <c r="D12" s="124">
        <f t="shared" si="2"/>
        <v>1.3708470517809039E-3</v>
      </c>
      <c r="E12" s="124">
        <f t="shared" si="2"/>
        <v>1.508530380125711E-3</v>
      </c>
      <c r="F12" s="124">
        <f t="shared" si="2"/>
        <v>1.7779108051481592E-3</v>
      </c>
      <c r="G12" s="124">
        <f t="shared" si="2"/>
        <v>1.8497455851541455E-3</v>
      </c>
      <c r="H12" s="124">
        <f t="shared" si="2"/>
        <v>2.0233463035019454E-3</v>
      </c>
      <c r="I12" s="124">
        <f t="shared" si="2"/>
        <v>2.0592636935049388E-3</v>
      </c>
      <c r="J12" s="124">
        <f t="shared" si="2"/>
        <v>2.2627955701885662E-3</v>
      </c>
      <c r="K12" s="140">
        <f t="shared" si="3"/>
        <v>156150</v>
      </c>
      <c r="L12" s="64">
        <v>1873800</v>
      </c>
      <c r="M12" s="36">
        <v>130800</v>
      </c>
      <c r="N12" s="36">
        <f t="shared" si="4"/>
        <v>2004600</v>
      </c>
      <c r="O12" s="65">
        <v>205</v>
      </c>
      <c r="P12" s="65">
        <v>229</v>
      </c>
      <c r="Q12" s="65">
        <v>252</v>
      </c>
      <c r="R12" s="65">
        <v>297</v>
      </c>
      <c r="S12" s="65">
        <v>309</v>
      </c>
      <c r="T12" s="65">
        <v>338</v>
      </c>
      <c r="U12" s="65">
        <v>344</v>
      </c>
      <c r="V12" s="65">
        <v>378</v>
      </c>
      <c r="W12" s="17"/>
      <c r="X12" s="86"/>
      <c r="Y12" s="87"/>
    </row>
    <row r="13" spans="1:25">
      <c r="A13" s="65" t="s">
        <v>94</v>
      </c>
      <c r="B13" s="88" t="s">
        <v>90</v>
      </c>
      <c r="C13" s="124">
        <f t="shared" si="1"/>
        <v>1.2282686879818957E-3</v>
      </c>
      <c r="D13" s="124">
        <f t="shared" si="2"/>
        <v>1.368482008527774E-3</v>
      </c>
      <c r="E13" s="124">
        <f t="shared" si="2"/>
        <v>1.5086953290736527E-3</v>
      </c>
      <c r="F13" s="124">
        <f t="shared" si="2"/>
        <v>1.7779049045217395E-3</v>
      </c>
      <c r="G13" s="124">
        <f t="shared" si="2"/>
        <v>1.8508158312055961E-3</v>
      </c>
      <c r="H13" s="124">
        <f t="shared" si="2"/>
        <v>2.0246803486824857E-3</v>
      </c>
      <c r="I13" s="124">
        <f t="shared" si="2"/>
        <v>2.0583315456134963E-3</v>
      </c>
      <c r="J13" s="124">
        <f t="shared" si="2"/>
        <v>2.2602387271995613E-3</v>
      </c>
      <c r="K13" s="140">
        <f t="shared" si="3"/>
        <v>167399.75</v>
      </c>
      <c r="L13" s="39">
        <v>2008797</v>
      </c>
      <c r="M13" s="36">
        <v>130800</v>
      </c>
      <c r="N13" s="36">
        <f t="shared" si="4"/>
        <v>2139597</v>
      </c>
      <c r="O13" s="141">
        <v>219</v>
      </c>
      <c r="P13" s="141">
        <v>244</v>
      </c>
      <c r="Q13" s="141">
        <v>269</v>
      </c>
      <c r="R13" s="141">
        <v>317</v>
      </c>
      <c r="S13" s="65">
        <v>330</v>
      </c>
      <c r="T13" s="141">
        <v>361</v>
      </c>
      <c r="U13" s="141">
        <v>367</v>
      </c>
      <c r="V13" s="141">
        <v>403</v>
      </c>
      <c r="W13" s="17"/>
      <c r="X13" s="86"/>
    </row>
    <row r="14" spans="1:25">
      <c r="A14" s="65">
        <v>2005</v>
      </c>
      <c r="B14" s="88" t="s">
        <v>90</v>
      </c>
      <c r="C14" s="124">
        <f t="shared" si="1"/>
        <v>1.2309725204510088E-3</v>
      </c>
      <c r="D14" s="124">
        <f t="shared" si="2"/>
        <v>1.371804122367014E-3</v>
      </c>
      <c r="E14" s="124">
        <f t="shared" si="2"/>
        <v>1.507419739026871E-3</v>
      </c>
      <c r="F14" s="124">
        <f t="shared" si="2"/>
        <v>1.7786509723465847E-3</v>
      </c>
      <c r="G14" s="124">
        <f t="shared" si="2"/>
        <v>1.8516747659326615E-3</v>
      </c>
      <c r="H14" s="124">
        <f t="shared" si="2"/>
        <v>2.0238022793855567E-3</v>
      </c>
      <c r="I14" s="124">
        <f t="shared" si="2"/>
        <v>2.0603141761785953E-3</v>
      </c>
      <c r="J14" s="124">
        <f t="shared" si="2"/>
        <v>2.2585216159122321E-3</v>
      </c>
      <c r="K14" s="140">
        <f t="shared" si="3"/>
        <v>180818.33333333334</v>
      </c>
      <c r="L14" s="39">
        <v>2169820</v>
      </c>
      <c r="M14" s="36">
        <v>130800</v>
      </c>
      <c r="N14" s="36">
        <f t="shared" si="4"/>
        <v>2300620</v>
      </c>
      <c r="O14" s="65">
        <v>236</v>
      </c>
      <c r="P14" s="65">
        <v>263</v>
      </c>
      <c r="Q14" s="65">
        <v>289</v>
      </c>
      <c r="R14" s="65">
        <v>341</v>
      </c>
      <c r="S14" s="65">
        <v>355</v>
      </c>
      <c r="T14" s="65">
        <v>388</v>
      </c>
      <c r="U14" s="65">
        <v>395</v>
      </c>
      <c r="V14" s="65">
        <v>433</v>
      </c>
      <c r="W14" s="17"/>
    </row>
    <row r="15" spans="1:25">
      <c r="A15" s="65">
        <v>2006</v>
      </c>
      <c r="B15" s="88" t="s">
        <v>103</v>
      </c>
      <c r="C15" s="124">
        <f t="shared" si="1"/>
        <v>1.2143083729291096E-3</v>
      </c>
      <c r="D15" s="124">
        <f t="shared" si="2"/>
        <v>1.3598434588232352E-3</v>
      </c>
      <c r="E15" s="124">
        <f t="shared" si="2"/>
        <v>1.5008305732831693E-3</v>
      </c>
      <c r="F15" s="124">
        <f t="shared" si="2"/>
        <v>1.7873527736372288E-3</v>
      </c>
      <c r="G15" s="124">
        <f t="shared" si="2"/>
        <v>1.8510243737159086E-3</v>
      </c>
      <c r="H15" s="124">
        <f t="shared" si="2"/>
        <v>2.0283952596493742E-3</v>
      </c>
      <c r="I15" s="124">
        <f t="shared" si="2"/>
        <v>2.069327002557097E-3</v>
      </c>
      <c r="J15" s="124">
        <f t="shared" si="2"/>
        <v>2.2785336885299025E-3</v>
      </c>
      <c r="K15" s="140">
        <f t="shared" si="3"/>
        <v>208978.25</v>
      </c>
      <c r="L15" s="64">
        <v>2507739</v>
      </c>
      <c r="M15" s="36">
        <v>130800</v>
      </c>
      <c r="N15" s="64">
        <v>2638539</v>
      </c>
      <c r="O15" s="70">
        <v>267</v>
      </c>
      <c r="P15" s="70">
        <v>299</v>
      </c>
      <c r="Q15" s="70">
        <v>330</v>
      </c>
      <c r="R15" s="70">
        <v>393</v>
      </c>
      <c r="S15" s="70">
        <v>407</v>
      </c>
      <c r="T15" s="70">
        <v>446</v>
      </c>
      <c r="U15" s="70">
        <v>455</v>
      </c>
      <c r="V15" s="70">
        <v>501</v>
      </c>
      <c r="W15" s="17"/>
    </row>
    <row r="16" spans="1:25">
      <c r="A16" s="65">
        <v>2007</v>
      </c>
      <c r="B16" s="88" t="s">
        <v>81</v>
      </c>
      <c r="C16" s="124">
        <f t="shared" si="1"/>
        <v>1.2154714040094352E-3</v>
      </c>
      <c r="D16" s="124">
        <f t="shared" si="2"/>
        <v>1.3613279724905673E-3</v>
      </c>
      <c r="E16" s="124">
        <f t="shared" si="2"/>
        <v>1.4983447489425399E-3</v>
      </c>
      <c r="F16" s="124">
        <f t="shared" si="2"/>
        <v>1.7856379898902246E-3</v>
      </c>
      <c r="G16" s="124">
        <f t="shared" si="2"/>
        <v>1.8519364301089211E-3</v>
      </c>
      <c r="H16" s="124">
        <f t="shared" si="2"/>
        <v>2.0287322706921116E-3</v>
      </c>
      <c r="I16" s="124">
        <f t="shared" si="2"/>
        <v>2.0685113348233295E-3</v>
      </c>
      <c r="J16" s="124">
        <f t="shared" si="2"/>
        <v>2.280666343523158E-3</v>
      </c>
      <c r="K16" s="140">
        <f t="shared" si="3"/>
        <v>215349.66666666666</v>
      </c>
      <c r="L16" s="64">
        <v>2584196</v>
      </c>
      <c r="M16" s="36">
        <v>130800</v>
      </c>
      <c r="N16" s="36">
        <v>2714996</v>
      </c>
      <c r="O16" s="70">
        <v>275</v>
      </c>
      <c r="P16" s="70">
        <v>308</v>
      </c>
      <c r="Q16" s="70">
        <v>339</v>
      </c>
      <c r="R16" s="70">
        <v>404</v>
      </c>
      <c r="S16" s="70">
        <v>419</v>
      </c>
      <c r="T16" s="70">
        <v>459</v>
      </c>
      <c r="U16" s="70">
        <v>468</v>
      </c>
      <c r="V16" s="70">
        <v>516</v>
      </c>
      <c r="W16" s="17"/>
    </row>
    <row r="17" spans="1:23">
      <c r="A17" s="65">
        <v>2008</v>
      </c>
      <c r="B17" s="88" t="s">
        <v>87</v>
      </c>
      <c r="C17" s="124">
        <f t="shared" si="1"/>
        <v>1.212904436847748E-3</v>
      </c>
      <c r="D17" s="124">
        <f t="shared" si="2"/>
        <v>1.360185689893546E-3</v>
      </c>
      <c r="E17" s="124">
        <f t="shared" si="2"/>
        <v>1.4944715382588323E-3</v>
      </c>
      <c r="F17" s="124">
        <f t="shared" si="2"/>
        <v>1.7847022427902577E-3</v>
      </c>
      <c r="G17" s="124">
        <f t="shared" si="2"/>
        <v>1.8496792661928155E-3</v>
      </c>
      <c r="H17" s="124">
        <f t="shared" si="2"/>
        <v>2.0272831301598074E-3</v>
      </c>
      <c r="I17" s="124">
        <f t="shared" si="2"/>
        <v>2.0662693442013423E-3</v>
      </c>
      <c r="J17" s="124">
        <f t="shared" si="2"/>
        <v>2.2785276206496981E-3</v>
      </c>
      <c r="K17" s="140">
        <f t="shared" si="3"/>
        <v>219950.83333333334</v>
      </c>
      <c r="L17" s="64">
        <v>2639410</v>
      </c>
      <c r="M17" s="36">
        <v>130800</v>
      </c>
      <c r="N17" s="36">
        <v>2770210</v>
      </c>
      <c r="O17" s="70">
        <v>280</v>
      </c>
      <c r="P17" s="70">
        <v>314</v>
      </c>
      <c r="Q17" s="70">
        <v>345</v>
      </c>
      <c r="R17" s="70">
        <v>412</v>
      </c>
      <c r="S17" s="70">
        <v>427</v>
      </c>
      <c r="T17" s="70">
        <v>468</v>
      </c>
      <c r="U17" s="70">
        <v>477</v>
      </c>
      <c r="V17" s="70">
        <v>526</v>
      </c>
      <c r="W17" s="17"/>
    </row>
    <row r="18" spans="1:23">
      <c r="A18" s="65" t="s">
        <v>93</v>
      </c>
      <c r="B18" s="88" t="s">
        <v>88</v>
      </c>
      <c r="C18" s="124">
        <f t="shared" si="1"/>
        <v>1.2102278711761309E-3</v>
      </c>
      <c r="D18" s="124">
        <f t="shared" si="2"/>
        <v>1.3589248109793415E-3</v>
      </c>
      <c r="E18" s="124">
        <f t="shared" si="2"/>
        <v>1.4910998685821954E-3</v>
      </c>
      <c r="F18" s="124">
        <f t="shared" si="2"/>
        <v>1.7843632776385274E-3</v>
      </c>
      <c r="G18" s="124">
        <f t="shared" si="2"/>
        <v>1.8463203358898652E-3</v>
      </c>
      <c r="H18" s="124">
        <f t="shared" si="2"/>
        <v>2.0239305695437001E-3</v>
      </c>
      <c r="I18" s="124">
        <f t="shared" si="2"/>
        <v>2.065235275044592E-3</v>
      </c>
      <c r="J18" s="124">
        <f t="shared" si="2"/>
        <v>2.2758892730991402E-3</v>
      </c>
      <c r="K18" s="140">
        <f t="shared" si="3"/>
        <v>231203.16666666666</v>
      </c>
      <c r="L18" s="64">
        <v>2774438</v>
      </c>
      <c r="M18" s="36">
        <v>130800</v>
      </c>
      <c r="N18" s="36">
        <v>2905238</v>
      </c>
      <c r="O18" s="70">
        <v>293</v>
      </c>
      <c r="P18" s="70">
        <v>329</v>
      </c>
      <c r="Q18" s="70">
        <v>361</v>
      </c>
      <c r="R18" s="70">
        <v>432</v>
      </c>
      <c r="S18" s="70">
        <v>447</v>
      </c>
      <c r="T18" s="70">
        <v>490</v>
      </c>
      <c r="U18" s="70">
        <v>500</v>
      </c>
      <c r="V18" s="70">
        <v>551</v>
      </c>
      <c r="W18" s="17"/>
    </row>
    <row r="19" spans="1:23">
      <c r="A19" s="65" t="s">
        <v>92</v>
      </c>
      <c r="B19" s="88" t="s">
        <v>81</v>
      </c>
      <c r="C19" s="124">
        <f t="shared" si="1"/>
        <v>1.2126602533536379E-3</v>
      </c>
      <c r="D19" s="124">
        <f t="shared" si="2"/>
        <v>1.3612312115459711E-3</v>
      </c>
      <c r="E19" s="124">
        <f t="shared" si="2"/>
        <v>1.4977558758308177E-3</v>
      </c>
      <c r="F19" s="124">
        <f t="shared" si="2"/>
        <v>1.7908823609129887E-3</v>
      </c>
      <c r="G19" s="124">
        <f t="shared" si="2"/>
        <v>1.8470983991479256E-3</v>
      </c>
      <c r="H19" s="124">
        <f t="shared" si="2"/>
        <v>2.0277928077602225E-3</v>
      </c>
      <c r="I19" s="124">
        <f t="shared" si="2"/>
        <v>2.071962552087673E-3</v>
      </c>
      <c r="J19" s="124">
        <f t="shared" si="2"/>
        <v>2.2767495485149429E-3</v>
      </c>
      <c r="K19" s="140">
        <f t="shared" si="3"/>
        <v>238139.25</v>
      </c>
      <c r="L19" s="36">
        <v>2857671</v>
      </c>
      <c r="M19" s="36">
        <v>130800</v>
      </c>
      <c r="N19" s="36">
        <v>2988471</v>
      </c>
      <c r="O19" s="70">
        <v>302</v>
      </c>
      <c r="P19" s="70">
        <v>339</v>
      </c>
      <c r="Q19" s="70">
        <v>373</v>
      </c>
      <c r="R19" s="70">
        <v>446</v>
      </c>
      <c r="S19" s="70">
        <v>460</v>
      </c>
      <c r="T19" s="70">
        <v>505</v>
      </c>
      <c r="U19" s="70">
        <v>516</v>
      </c>
      <c r="V19" s="70">
        <v>567</v>
      </c>
      <c r="W19" s="17"/>
    </row>
    <row r="20" spans="1:23">
      <c r="A20" s="65" t="s">
        <v>91</v>
      </c>
      <c r="B20" s="88" t="s">
        <v>88</v>
      </c>
      <c r="C20" s="124">
        <f t="shared" si="1"/>
        <v>1.2152323218468455E-3</v>
      </c>
      <c r="D20" s="124">
        <f t="shared" si="2"/>
        <v>1.3652135261254118E-3</v>
      </c>
      <c r="E20" s="124">
        <f t="shared" si="2"/>
        <v>1.5036577146902424E-3</v>
      </c>
      <c r="F20" s="124">
        <f t="shared" si="2"/>
        <v>1.7959287794382178E-3</v>
      </c>
      <c r="G20" s="124">
        <f t="shared" si="2"/>
        <v>1.8536138580068971E-3</v>
      </c>
      <c r="H20" s="124">
        <f t="shared" si="2"/>
        <v>2.0343604375220926E-3</v>
      </c>
      <c r="I20" s="124">
        <f t="shared" si="2"/>
        <v>2.0805085003770358E-3</v>
      </c>
      <c r="J20" s="124">
        <f t="shared" si="2"/>
        <v>2.2843291113197033E-3</v>
      </c>
      <c r="K20" s="140">
        <f t="shared" si="3"/>
        <v>249132.58333333334</v>
      </c>
      <c r="L20" s="36">
        <v>2989591</v>
      </c>
      <c r="M20" s="36">
        <v>130800</v>
      </c>
      <c r="N20" s="94">
        <v>3120391</v>
      </c>
      <c r="O20" s="70">
        <v>316</v>
      </c>
      <c r="P20" s="70">
        <v>355</v>
      </c>
      <c r="Q20" s="70">
        <v>391</v>
      </c>
      <c r="R20" s="70">
        <v>467</v>
      </c>
      <c r="S20" s="70">
        <v>482</v>
      </c>
      <c r="T20" s="70">
        <v>529</v>
      </c>
      <c r="U20" s="70">
        <v>541</v>
      </c>
      <c r="V20" s="70">
        <v>594</v>
      </c>
      <c r="W20" s="17"/>
    </row>
    <row r="21" spans="1:23">
      <c r="A21" s="65">
        <v>2017</v>
      </c>
      <c r="B21" s="88" t="s">
        <v>97</v>
      </c>
      <c r="C21" s="124">
        <f t="shared" si="1"/>
        <v>1.2132874804063323E-3</v>
      </c>
      <c r="D21" s="124">
        <f t="shared" si="2"/>
        <v>1.3599921757495817E-3</v>
      </c>
      <c r="E21" s="124">
        <f t="shared" si="2"/>
        <v>1.4987668875607635E-3</v>
      </c>
      <c r="F21" s="124">
        <f t="shared" si="2"/>
        <v>1.7882112864812283E-3</v>
      </c>
      <c r="G21" s="124">
        <f t="shared" si="2"/>
        <v>1.8476861629717349E-3</v>
      </c>
      <c r="H21" s="124">
        <f t="shared" si="2"/>
        <v>2.0261107924432545E-3</v>
      </c>
      <c r="I21" s="124">
        <f t="shared" si="2"/>
        <v>2.0736906936356593E-3</v>
      </c>
      <c r="J21" s="124">
        <f t="shared" si="2"/>
        <v>2.2759052737033815E-3</v>
      </c>
      <c r="K21" s="140">
        <f t="shared" si="3"/>
        <v>241307.33333333334</v>
      </c>
      <c r="L21" s="39">
        <v>2895688</v>
      </c>
      <c r="M21" s="36">
        <v>130800</v>
      </c>
      <c r="N21" s="94">
        <v>3026488</v>
      </c>
      <c r="O21" s="37">
        <v>306</v>
      </c>
      <c r="P21" s="37">
        <v>343</v>
      </c>
      <c r="Q21" s="37">
        <v>378</v>
      </c>
      <c r="R21" s="37">
        <v>451</v>
      </c>
      <c r="S21" s="37">
        <v>466</v>
      </c>
      <c r="T21" s="37">
        <v>511</v>
      </c>
      <c r="U21" s="37">
        <v>523</v>
      </c>
      <c r="V21" s="37">
        <v>574</v>
      </c>
    </row>
    <row r="22" spans="1:23">
      <c r="A22" s="65">
        <v>2018</v>
      </c>
      <c r="B22" s="88" t="s">
        <v>98</v>
      </c>
      <c r="C22" s="124">
        <f t="shared" si="1"/>
        <v>1.2127034731153747E-3</v>
      </c>
      <c r="D22" s="124">
        <f t="shared" ref="D22:J22" si="6">(P22)/($N22/12)</f>
        <v>1.3622702347996041E-3</v>
      </c>
      <c r="E22" s="124">
        <f t="shared" si="6"/>
        <v>1.49970996175268E-3</v>
      </c>
      <c r="F22" s="124">
        <f t="shared" si="6"/>
        <v>1.7867164503899853E-3</v>
      </c>
      <c r="G22" s="124">
        <f t="shared" si="6"/>
        <v>1.847351624045754E-3</v>
      </c>
      <c r="H22" s="124">
        <f t="shared" si="6"/>
        <v>2.0252148001026755E-3</v>
      </c>
      <c r="I22" s="124">
        <f t="shared" si="6"/>
        <v>2.0737229390272905E-3</v>
      </c>
      <c r="J22" s="124">
        <f t="shared" si="6"/>
        <v>2.2758401845465199E-3</v>
      </c>
      <c r="K22" s="140">
        <f t="shared" si="3"/>
        <v>236481.16666666666</v>
      </c>
      <c r="L22" s="69">
        <v>2837774</v>
      </c>
      <c r="M22" s="36">
        <v>130800</v>
      </c>
      <c r="N22" s="120">
        <v>2968574</v>
      </c>
      <c r="O22" s="37">
        <v>300</v>
      </c>
      <c r="P22" s="37">
        <v>337</v>
      </c>
      <c r="Q22" s="37">
        <v>371</v>
      </c>
      <c r="R22" s="37">
        <v>442</v>
      </c>
      <c r="S22" s="37">
        <v>457</v>
      </c>
      <c r="T22" s="37">
        <v>501</v>
      </c>
      <c r="U22" s="37">
        <v>513</v>
      </c>
      <c r="V22" s="37">
        <v>563</v>
      </c>
    </row>
    <row r="23" spans="1:23" ht="16.5" thickBot="1">
      <c r="C23" s="134"/>
      <c r="D23" s="125"/>
      <c r="O23" s="119"/>
      <c r="P23" s="45"/>
    </row>
    <row r="24" spans="1:23">
      <c r="C24" s="149" t="s">
        <v>130</v>
      </c>
      <c r="D24" s="125"/>
      <c r="G24" s="126"/>
      <c r="H24" s="127" t="s">
        <v>57</v>
      </c>
      <c r="I24" s="127" t="s">
        <v>58</v>
      </c>
      <c r="J24" s="127" t="s">
        <v>59</v>
      </c>
      <c r="K24" s="137"/>
      <c r="N24" s="44"/>
      <c r="O24" s="86"/>
    </row>
    <row r="25" spans="1:23">
      <c r="C25" s="134"/>
      <c r="D25" s="125"/>
      <c r="G25" s="128" t="s">
        <v>4</v>
      </c>
      <c r="H25" s="129">
        <v>1973</v>
      </c>
      <c r="I25" s="129" t="s">
        <v>53</v>
      </c>
      <c r="J25" s="129">
        <v>2016</v>
      </c>
      <c r="K25" s="138"/>
      <c r="L25" s="68">
        <f>1865807-130800</f>
        <v>1735007</v>
      </c>
      <c r="O25" s="86"/>
    </row>
    <row r="26" spans="1:23" ht="16.5" thickBot="1">
      <c r="C26" s="134"/>
      <c r="D26" s="125"/>
      <c r="G26" s="130" t="s">
        <v>5</v>
      </c>
      <c r="H26" s="131" t="s">
        <v>54</v>
      </c>
      <c r="I26" s="131" t="s">
        <v>55</v>
      </c>
      <c r="J26" s="131" t="s">
        <v>56</v>
      </c>
      <c r="K26" s="138"/>
      <c r="O26" s="86"/>
    </row>
    <row r="27" spans="1:23" ht="16.5" thickBot="1">
      <c r="C27" s="134"/>
      <c r="D27" s="125"/>
      <c r="G27" s="132" t="s">
        <v>17</v>
      </c>
      <c r="H27" s="133">
        <v>1.2340000000000001E-3</v>
      </c>
      <c r="I27" s="133">
        <v>7.94E-4</v>
      </c>
      <c r="J27" s="133">
        <v>1.1839999999999999E-3</v>
      </c>
      <c r="K27" s="139"/>
      <c r="O27" s="86"/>
    </row>
    <row r="28" spans="1:23" ht="16.5" thickBot="1">
      <c r="C28" s="134"/>
      <c r="D28" s="125"/>
      <c r="G28" s="132" t="s">
        <v>18</v>
      </c>
      <c r="H28" s="133">
        <v>1.372E-3</v>
      </c>
      <c r="I28" s="133">
        <v>1.0280000000000001E-3</v>
      </c>
      <c r="J28" s="133">
        <v>1.3389999999999999E-3</v>
      </c>
      <c r="K28" s="139"/>
      <c r="O28" s="86"/>
    </row>
    <row r="29" spans="1:23" ht="16.5" thickBot="1">
      <c r="C29" s="134"/>
      <c r="D29" s="125"/>
      <c r="G29" s="132" t="s">
        <v>19</v>
      </c>
      <c r="H29" s="133">
        <v>1.5089999999999999E-3</v>
      </c>
      <c r="I29" s="133">
        <v>1.4139999999999999E-3</v>
      </c>
      <c r="J29" s="133">
        <v>1.4829999999999999E-3</v>
      </c>
      <c r="K29" s="139"/>
      <c r="O29" s="86"/>
    </row>
    <row r="30" spans="1:23" ht="16.5" thickBot="1">
      <c r="C30" s="134"/>
      <c r="D30" s="125"/>
      <c r="G30" s="132" t="s">
        <v>20</v>
      </c>
      <c r="H30" s="133">
        <v>1.7830000000000001E-3</v>
      </c>
      <c r="I30" s="133">
        <v>1.6620000000000001E-3</v>
      </c>
      <c r="J30" s="133">
        <v>1.787E-3</v>
      </c>
      <c r="K30" s="139"/>
      <c r="O30" s="86"/>
    </row>
    <row r="31" spans="1:23" ht="16.5" thickBot="1">
      <c r="G31" s="132" t="s">
        <v>21</v>
      </c>
      <c r="H31" s="133">
        <v>1.8519999999999999E-3</v>
      </c>
      <c r="I31" s="133">
        <v>1.8420000000000001E-3</v>
      </c>
      <c r="J31" s="133">
        <v>1.8469999999999999E-3</v>
      </c>
      <c r="K31" s="139"/>
      <c r="O31" s="86"/>
    </row>
    <row r="32" spans="1:23" ht="16.5" thickBot="1">
      <c r="G32" s="132" t="s">
        <v>22</v>
      </c>
      <c r="H32" s="133">
        <v>2.0230000000000001E-3</v>
      </c>
      <c r="I32" s="133">
        <v>2.0939999999999999E-3</v>
      </c>
      <c r="J32" s="133">
        <v>2.0349999999999999E-3</v>
      </c>
      <c r="K32" s="139"/>
    </row>
    <row r="33" spans="7:11" ht="16.5" thickBot="1">
      <c r="G33" s="132" t="s">
        <v>39</v>
      </c>
      <c r="H33" s="133">
        <v>2.0579999999999999E-3</v>
      </c>
      <c r="I33" s="133">
        <v>2.163E-3</v>
      </c>
      <c r="J33" s="133">
        <v>2.0830000000000002E-3</v>
      </c>
      <c r="K33" s="139"/>
    </row>
    <row r="34" spans="7:11" ht="16.5" thickBot="1">
      <c r="G34" s="132" t="s">
        <v>24</v>
      </c>
      <c r="H34" s="133">
        <v>2.264E-3</v>
      </c>
      <c r="I34" s="133">
        <v>2.4139999999999999E-3</v>
      </c>
      <c r="J34" s="133">
        <v>2.2950000000000002E-3</v>
      </c>
      <c r="K34" s="139"/>
    </row>
  </sheetData>
  <pageMargins left="0.7" right="0.7" top="0.75" bottom="0.75" header="0.3" footer="0.3"/>
  <ignoredErrors>
    <ignoredError sqref="B6:B2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90CA-6D15-4452-B7B7-6F8EBD3B38BB}">
  <dimension ref="A1:Y37"/>
  <sheetViews>
    <sheetView tabSelected="1" workbookViewId="0">
      <selection activeCell="A11" sqref="A11"/>
    </sheetView>
  </sheetViews>
  <sheetFormatPr defaultRowHeight="15.75"/>
  <cols>
    <col min="1" max="1" width="11.5703125" style="65" bestFit="1" customWidth="1"/>
    <col min="2" max="2" width="7.7109375" style="88" bestFit="1" customWidth="1"/>
    <col min="3" max="3" width="10.5703125" customWidth="1"/>
    <col min="4" max="4" width="11.28515625" bestFit="1" customWidth="1"/>
    <col min="5" max="5" width="12" bestFit="1" customWidth="1"/>
    <col min="6" max="6" width="10.28515625" bestFit="1" customWidth="1"/>
    <col min="7" max="7" width="9.5703125" bestFit="1" customWidth="1"/>
    <col min="8" max="8" width="10.5703125" customWidth="1"/>
    <col min="9" max="9" width="10.28515625" bestFit="1" customWidth="1"/>
    <col min="10" max="10" width="11.42578125" customWidth="1"/>
    <col min="11" max="11" width="9.5703125" customWidth="1"/>
    <col min="12" max="12" width="9.85546875" style="68" customWidth="1"/>
    <col min="13" max="13" width="8.42578125" bestFit="1" customWidth="1"/>
    <col min="14" max="14" width="10.140625" bestFit="1" customWidth="1"/>
    <col min="15" max="15" width="7.28515625" style="38" customWidth="1"/>
    <col min="16" max="22" width="7.28515625" customWidth="1"/>
    <col min="25" max="25" width="12.140625" customWidth="1"/>
  </cols>
  <sheetData>
    <row r="1" spans="1:25">
      <c r="L1" s="3" t="s">
        <v>123</v>
      </c>
      <c r="N1" s="3" t="s">
        <v>123</v>
      </c>
    </row>
    <row r="2" spans="1:25" s="3" customFormat="1">
      <c r="A2" s="65"/>
      <c r="B2" s="88"/>
      <c r="C2" s="20" t="s">
        <v>17</v>
      </c>
      <c r="D2" s="20" t="s">
        <v>37</v>
      </c>
      <c r="E2" s="20" t="s">
        <v>19</v>
      </c>
      <c r="F2" s="20" t="s">
        <v>20</v>
      </c>
      <c r="G2" s="20" t="s">
        <v>21</v>
      </c>
      <c r="H2" s="20" t="s">
        <v>38</v>
      </c>
      <c r="I2" s="20" t="s">
        <v>39</v>
      </c>
      <c r="J2" s="20" t="s">
        <v>40</v>
      </c>
      <c r="K2" s="20" t="s">
        <v>31</v>
      </c>
      <c r="L2" s="20" t="s">
        <v>15</v>
      </c>
      <c r="M2" s="20" t="s">
        <v>14</v>
      </c>
      <c r="N2" s="20" t="s">
        <v>15</v>
      </c>
      <c r="O2" s="20" t="s">
        <v>17</v>
      </c>
      <c r="P2" s="20" t="s">
        <v>41</v>
      </c>
      <c r="Q2" s="20" t="s">
        <v>19</v>
      </c>
      <c r="R2" s="20" t="s">
        <v>42</v>
      </c>
      <c r="S2" s="20" t="s">
        <v>21</v>
      </c>
      <c r="T2" s="20" t="s">
        <v>43</v>
      </c>
      <c r="U2" s="20" t="s">
        <v>39</v>
      </c>
      <c r="V2" s="20" t="s">
        <v>44</v>
      </c>
      <c r="W2" s="20"/>
    </row>
    <row r="3" spans="1:25" s="3" customFormat="1">
      <c r="A3" s="65"/>
      <c r="B3" s="88" t="s">
        <v>145</v>
      </c>
      <c r="C3" s="20">
        <v>5</v>
      </c>
      <c r="D3" s="20">
        <v>5</v>
      </c>
      <c r="E3" s="20">
        <v>131</v>
      </c>
      <c r="F3" s="20">
        <v>13</v>
      </c>
      <c r="G3" s="20">
        <v>206</v>
      </c>
      <c r="H3" s="20">
        <v>11</v>
      </c>
      <c r="I3" s="20">
        <v>153</v>
      </c>
      <c r="J3" s="20">
        <v>21</v>
      </c>
      <c r="K3" s="20" t="s">
        <v>124</v>
      </c>
      <c r="L3" s="20" t="s">
        <v>124</v>
      </c>
      <c r="M3" s="20" t="s">
        <v>70</v>
      </c>
      <c r="N3" s="20" t="s">
        <v>125</v>
      </c>
      <c r="O3" s="20">
        <v>5</v>
      </c>
      <c r="P3" s="20">
        <v>5</v>
      </c>
      <c r="Q3" s="20">
        <v>131</v>
      </c>
      <c r="R3" s="20">
        <v>13</v>
      </c>
      <c r="S3" s="20">
        <v>206</v>
      </c>
      <c r="T3" s="20">
        <v>11</v>
      </c>
      <c r="U3" s="20">
        <v>153</v>
      </c>
      <c r="V3" s="20">
        <v>21</v>
      </c>
      <c r="W3" s="20"/>
    </row>
    <row r="4" spans="1:25" s="3" customFormat="1">
      <c r="A4" s="174" t="s">
        <v>142</v>
      </c>
      <c r="B4" s="175"/>
      <c r="C4" s="176">
        <v>1.1839999999999999E-3</v>
      </c>
      <c r="D4" s="176">
        <v>1.3389999999999999E-3</v>
      </c>
      <c r="E4" s="176">
        <v>1.4829999999999999E-3</v>
      </c>
      <c r="F4" s="176">
        <v>1.787E-3</v>
      </c>
      <c r="G4" s="176">
        <v>1.8469999999999999E-3</v>
      </c>
      <c r="H4" s="176">
        <v>2.0349999999999999E-3</v>
      </c>
      <c r="I4" s="176">
        <v>2.0830000000000002E-3</v>
      </c>
      <c r="J4" s="176">
        <v>2.2950000000000002E-3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5" s="3" customFormat="1">
      <c r="A5" s="170" t="s">
        <v>143</v>
      </c>
      <c r="B5" s="171"/>
      <c r="C5" s="172">
        <v>1.2340000000000001E-3</v>
      </c>
      <c r="D5" s="172">
        <v>1.372E-3</v>
      </c>
      <c r="E5" s="172">
        <v>1.5089999999999999E-3</v>
      </c>
      <c r="F5" s="172">
        <v>1.7830000000000001E-3</v>
      </c>
      <c r="G5" s="172">
        <v>1.8519999999999999E-3</v>
      </c>
      <c r="H5" s="172">
        <v>2.0230000000000001E-3</v>
      </c>
      <c r="I5" s="172">
        <v>2.0579999999999999E-3</v>
      </c>
      <c r="J5" s="172">
        <v>2.264E-3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5" s="3" customFormat="1">
      <c r="A6" s="65" t="s">
        <v>144</v>
      </c>
      <c r="B6" s="122"/>
      <c r="C6" s="172">
        <v>1.23E-3</v>
      </c>
      <c r="D6" s="172">
        <v>1.3699999999999999E-3</v>
      </c>
      <c r="E6" s="172">
        <v>1.5100000000000001E-3</v>
      </c>
      <c r="F6" s="172">
        <v>1.7799999999999999E-3</v>
      </c>
      <c r="G6" s="172">
        <v>1.8500000000000001E-3</v>
      </c>
      <c r="H6" s="172">
        <v>2.0219999999999999E-3</v>
      </c>
      <c r="I6" s="172">
        <v>2.0600000000000002E-3</v>
      </c>
      <c r="J6" s="172">
        <v>2.2599999999999999E-3</v>
      </c>
      <c r="K6" s="18"/>
      <c r="L6" s="65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5" s="3" customFormat="1">
      <c r="A7" s="65">
        <v>1988</v>
      </c>
      <c r="B7" s="88"/>
      <c r="C7" s="172">
        <f>(O7)/($N$7/12)</f>
        <v>1.2328366029187407E-3</v>
      </c>
      <c r="D7" s="172">
        <f t="shared" ref="D7:J7" si="0">(P7)/($N$7/12)</f>
        <v>1.3715307207470991E-3</v>
      </c>
      <c r="E7" s="172">
        <f t="shared" si="0"/>
        <v>1.5102248385754572E-3</v>
      </c>
      <c r="F7" s="172">
        <f t="shared" si="0"/>
        <v>1.7799078454639318E-3</v>
      </c>
      <c r="G7" s="172">
        <f t="shared" si="0"/>
        <v>1.8492549043781111E-3</v>
      </c>
      <c r="H7" s="172">
        <f t="shared" si="0"/>
        <v>2.0187699372794378E-3</v>
      </c>
      <c r="I7" s="172">
        <f t="shared" si="0"/>
        <v>2.0611486955047697E-3</v>
      </c>
      <c r="J7" s="172">
        <f t="shared" si="0"/>
        <v>2.261484643479065E-3</v>
      </c>
      <c r="K7" s="140">
        <f>L7/12</f>
        <v>121607</v>
      </c>
      <c r="L7" s="64">
        <v>1459284</v>
      </c>
      <c r="M7" s="36">
        <v>98100</v>
      </c>
      <c r="N7" s="178">
        <v>1557384</v>
      </c>
      <c r="O7" s="84">
        <v>160</v>
      </c>
      <c r="P7" s="84">
        <v>178</v>
      </c>
      <c r="Q7" s="84">
        <v>196</v>
      </c>
      <c r="R7" s="84">
        <v>231</v>
      </c>
      <c r="S7" s="84">
        <v>240</v>
      </c>
      <c r="T7" s="84">
        <v>262</v>
      </c>
      <c r="U7" s="84">
        <v>267.5</v>
      </c>
      <c r="V7" s="84">
        <v>293.5</v>
      </c>
      <c r="W7" s="20"/>
    </row>
    <row r="8" spans="1:25" s="3" customFormat="1">
      <c r="A8" s="65" t="s">
        <v>71</v>
      </c>
      <c r="B8" s="84" t="s">
        <v>81</v>
      </c>
      <c r="C8" s="172">
        <f>(O8)/($N8/12)</f>
        <v>1.2312054620751409E-3</v>
      </c>
      <c r="D8" s="172">
        <f t="shared" ref="D8:J9" si="1">(P8)/($N8/12)</f>
        <v>1.3692497108532627E-3</v>
      </c>
      <c r="E8" s="172">
        <f t="shared" si="1"/>
        <v>1.5110248852740365E-3</v>
      </c>
      <c r="F8" s="172">
        <f t="shared" si="1"/>
        <v>1.7796515315449764E-3</v>
      </c>
      <c r="G8" s="172">
        <f t="shared" si="1"/>
        <v>1.8505391187553632E-3</v>
      </c>
      <c r="H8" s="172">
        <f t="shared" si="1"/>
        <v>2.0184307726747006E-3</v>
      </c>
      <c r="I8" s="172">
        <f t="shared" si="1"/>
        <v>2.0594709547438719E-3</v>
      </c>
      <c r="J8" s="172">
        <f t="shared" si="1"/>
        <v>2.257210013804425E-3</v>
      </c>
      <c r="K8" s="140">
        <f t="shared" ref="K8:K25" si="2">L8/12</f>
        <v>125840</v>
      </c>
      <c r="L8" s="64">
        <v>1510080</v>
      </c>
      <c r="M8" s="36">
        <v>98100</v>
      </c>
      <c r="N8" s="178">
        <v>1608180</v>
      </c>
      <c r="O8" s="84">
        <v>165</v>
      </c>
      <c r="P8" s="84">
        <v>183.5</v>
      </c>
      <c r="Q8" s="84">
        <v>202.5</v>
      </c>
      <c r="R8" s="84">
        <v>238.5</v>
      </c>
      <c r="S8" s="84">
        <v>248</v>
      </c>
      <c r="T8" s="84">
        <v>270.5</v>
      </c>
      <c r="U8" s="84">
        <v>276</v>
      </c>
      <c r="V8" s="84">
        <v>302.5</v>
      </c>
      <c r="W8" s="20"/>
    </row>
    <row r="9" spans="1:25" s="3" customFormat="1">
      <c r="A9" s="143" t="s">
        <v>80</v>
      </c>
      <c r="B9" s="169" t="s">
        <v>85</v>
      </c>
      <c r="C9" s="173">
        <f>(O9)/($N9/12)</f>
        <v>1.2298945383844931E-3</v>
      </c>
      <c r="D9" s="173">
        <f t="shared" si="1"/>
        <v>1.3698226595180581E-3</v>
      </c>
      <c r="E9" s="173">
        <f t="shared" si="1"/>
        <v>1.5097507806516232E-3</v>
      </c>
      <c r="F9" s="173">
        <f t="shared" si="1"/>
        <v>1.7822423849643552E-3</v>
      </c>
      <c r="G9" s="173">
        <f t="shared" si="1"/>
        <v>1.8485241265539386E-3</v>
      </c>
      <c r="H9" s="173">
        <f t="shared" si="1"/>
        <v>2.0252754374594944E-3</v>
      </c>
      <c r="I9" s="173">
        <f t="shared" si="1"/>
        <v>2.0620986272314851E-3</v>
      </c>
      <c r="J9" s="173">
        <f t="shared" si="1"/>
        <v>2.2609438520002356E-3</v>
      </c>
      <c r="K9" s="146">
        <f t="shared" si="2"/>
        <v>127609</v>
      </c>
      <c r="L9" s="147">
        <v>1531308</v>
      </c>
      <c r="M9" s="147">
        <v>98100</v>
      </c>
      <c r="N9" s="179">
        <v>1629408</v>
      </c>
      <c r="O9" s="143">
        <v>167</v>
      </c>
      <c r="P9" s="143">
        <v>186</v>
      </c>
      <c r="Q9" s="143">
        <v>205</v>
      </c>
      <c r="R9" s="143">
        <v>242</v>
      </c>
      <c r="S9" s="143">
        <v>251</v>
      </c>
      <c r="T9" s="143">
        <v>275</v>
      </c>
      <c r="U9" s="143">
        <v>280</v>
      </c>
      <c r="V9" s="143">
        <v>307</v>
      </c>
      <c r="W9" s="20"/>
    </row>
    <row r="10" spans="1:25" s="3" customFormat="1">
      <c r="A10" s="177" t="s">
        <v>147</v>
      </c>
      <c r="B10" s="84"/>
      <c r="C10" s="172"/>
      <c r="D10" s="172"/>
      <c r="E10" s="172"/>
      <c r="F10" s="172"/>
      <c r="G10" s="172"/>
      <c r="H10" s="172"/>
      <c r="I10" s="172"/>
      <c r="J10" s="172"/>
      <c r="K10" s="140"/>
      <c r="L10" s="64"/>
      <c r="M10" s="64"/>
      <c r="N10" s="178"/>
      <c r="O10" s="65"/>
      <c r="P10" s="65"/>
      <c r="Q10" s="65"/>
      <c r="R10" s="65"/>
      <c r="S10" s="65"/>
      <c r="T10" s="65"/>
      <c r="U10" s="65"/>
      <c r="V10" s="65"/>
      <c r="W10" s="20"/>
    </row>
    <row r="11" spans="1:25" s="17" customFormat="1">
      <c r="A11" s="65">
        <v>1998</v>
      </c>
      <c r="B11" s="84" t="s">
        <v>86</v>
      </c>
      <c r="C11" s="176">
        <f t="shared" ref="C11:J25" si="3">(O11-20)/($K11)</f>
        <v>1.1917037929033666E-3</v>
      </c>
      <c r="D11" s="176">
        <f t="shared" ref="D11:D22" si="4">(P11-20)/K11</f>
        <v>1.3341086486591148E-3</v>
      </c>
      <c r="E11" s="176">
        <f t="shared" ref="E11:E22" si="5">(Q11-20)/K11</f>
        <v>1.4840084968230601E-3</v>
      </c>
      <c r="F11" s="176">
        <f t="shared" ref="F11:F22" si="6">(R11-20)/K11</f>
        <v>1.7763132007427539E-3</v>
      </c>
      <c r="G11" s="176">
        <f t="shared" ref="G11:G22" si="7">(S11-20)/K11</f>
        <v>1.8512631248247266E-3</v>
      </c>
      <c r="H11" s="176">
        <f t="shared" ref="H11:H22" si="8">(T11-20)/K11</f>
        <v>2.0386379350296586E-3</v>
      </c>
      <c r="I11" s="176">
        <f t="shared" ref="I11:I22" si="9">(U11-20)/K11</f>
        <v>2.0761128970706449E-3</v>
      </c>
      <c r="J11" s="176">
        <f t="shared" ref="J11:J22" si="10">(V11-20)/K11</f>
        <v>2.2934676769083657E-3</v>
      </c>
      <c r="K11" s="140">
        <f t="shared" si="2"/>
        <v>133422.41666666666</v>
      </c>
      <c r="L11" s="63">
        <v>1601069</v>
      </c>
      <c r="M11" s="36">
        <v>130800</v>
      </c>
      <c r="N11" s="180">
        <v>1731869</v>
      </c>
      <c r="O11" s="70">
        <v>179</v>
      </c>
      <c r="P11" s="85">
        <v>198</v>
      </c>
      <c r="Q11" s="85">
        <v>218</v>
      </c>
      <c r="R11" s="85">
        <v>257</v>
      </c>
      <c r="S11" s="85">
        <v>267</v>
      </c>
      <c r="T11" s="85">
        <v>292</v>
      </c>
      <c r="U11" s="85">
        <v>297</v>
      </c>
      <c r="V11" s="85">
        <v>326</v>
      </c>
      <c r="X11" s="86"/>
    </row>
    <row r="12" spans="1:25">
      <c r="A12" s="65" t="s">
        <v>128</v>
      </c>
      <c r="B12" s="84" t="s">
        <v>87</v>
      </c>
      <c r="C12" s="176">
        <f t="shared" si="3"/>
        <v>1.1787977483254603E-3</v>
      </c>
      <c r="D12" s="176">
        <f t="shared" si="4"/>
        <v>1.3325539763679116E-3</v>
      </c>
      <c r="E12" s="176">
        <f t="shared" si="5"/>
        <v>1.486310204410363E-3</v>
      </c>
      <c r="F12" s="176">
        <f t="shared" si="6"/>
        <v>1.7791792102055085E-3</v>
      </c>
      <c r="G12" s="176">
        <f t="shared" si="7"/>
        <v>1.8523964616542949E-3</v>
      </c>
      <c r="H12" s="176">
        <f t="shared" si="8"/>
        <v>2.0354395902762606E-3</v>
      </c>
      <c r="I12" s="176">
        <f t="shared" si="9"/>
        <v>2.0793699411455323E-3</v>
      </c>
      <c r="J12" s="176">
        <f t="shared" si="10"/>
        <v>2.2916999703470132E-3</v>
      </c>
      <c r="K12" s="140">
        <f t="shared" si="2"/>
        <v>136579.83333333334</v>
      </c>
      <c r="L12" s="63">
        <v>1638958</v>
      </c>
      <c r="M12" s="36">
        <v>130800</v>
      </c>
      <c r="N12" s="181">
        <f t="shared" ref="N12:N17" si="11">L12+M12</f>
        <v>1769758</v>
      </c>
      <c r="O12" s="65">
        <v>181</v>
      </c>
      <c r="P12" s="65">
        <v>202</v>
      </c>
      <c r="Q12" s="65">
        <v>223</v>
      </c>
      <c r="R12" s="65">
        <v>263</v>
      </c>
      <c r="S12" s="65">
        <v>273</v>
      </c>
      <c r="T12" s="65">
        <v>298</v>
      </c>
      <c r="U12" s="65">
        <v>304</v>
      </c>
      <c r="V12" s="65">
        <v>333</v>
      </c>
      <c r="W12" s="17"/>
      <c r="X12" s="86"/>
      <c r="Y12" s="87"/>
    </row>
    <row r="13" spans="1:25">
      <c r="A13" s="65" t="s">
        <v>146</v>
      </c>
      <c r="B13" s="84"/>
      <c r="C13" s="168">
        <f t="shared" si="3"/>
        <v>1.3959601161225607E-3</v>
      </c>
      <c r="D13" s="168">
        <f t="shared" si="4"/>
        <v>1.5589417178475591E-3</v>
      </c>
      <c r="E13" s="168">
        <f t="shared" si="5"/>
        <v>1.7219233195725576E-3</v>
      </c>
      <c r="F13" s="168">
        <f t="shared" si="6"/>
        <v>2.0323644657154116E-3</v>
      </c>
      <c r="G13" s="168">
        <f t="shared" si="7"/>
        <v>2.1099747522511252E-3</v>
      </c>
      <c r="H13" s="168">
        <f t="shared" si="8"/>
        <v>2.3040004685904092E-3</v>
      </c>
      <c r="I13" s="168">
        <f t="shared" si="9"/>
        <v>2.3505666405118373E-3</v>
      </c>
      <c r="J13" s="168">
        <f t="shared" si="10"/>
        <v>2.5756364714654063E-3</v>
      </c>
      <c r="K13" s="140">
        <f t="shared" si="2"/>
        <v>136579.83333333334</v>
      </c>
      <c r="L13" s="63">
        <v>1638958</v>
      </c>
      <c r="M13" s="36">
        <v>130800</v>
      </c>
      <c r="N13" s="181">
        <f t="shared" si="11"/>
        <v>1769758</v>
      </c>
      <c r="O13" s="85">
        <f>0.06*(O12-20)+O12+20</f>
        <v>210.66</v>
      </c>
      <c r="P13" s="85">
        <f t="shared" ref="P13:V13" si="12">0.06*(P12-20)+P12+20</f>
        <v>232.92</v>
      </c>
      <c r="Q13" s="85">
        <f t="shared" si="12"/>
        <v>255.18</v>
      </c>
      <c r="R13" s="85">
        <f t="shared" si="12"/>
        <v>297.58</v>
      </c>
      <c r="S13" s="85">
        <f t="shared" si="12"/>
        <v>308.18</v>
      </c>
      <c r="T13" s="85">
        <f t="shared" si="12"/>
        <v>334.68</v>
      </c>
      <c r="U13" s="85">
        <f t="shared" si="12"/>
        <v>341.04</v>
      </c>
      <c r="V13" s="85">
        <f t="shared" si="12"/>
        <v>371.78</v>
      </c>
      <c r="W13" s="17"/>
      <c r="X13" s="86"/>
      <c r="Y13" s="87"/>
    </row>
    <row r="14" spans="1:25">
      <c r="A14" s="65">
        <v>2001</v>
      </c>
      <c r="B14" s="84" t="s">
        <v>86</v>
      </c>
      <c r="C14" s="168">
        <f>(O14-20)/(K14)</f>
        <v>1.3210321341643003E-3</v>
      </c>
      <c r="D14" s="168">
        <f t="shared" si="4"/>
        <v>1.3348649313806803E-3</v>
      </c>
      <c r="E14" s="168">
        <f t="shared" si="5"/>
        <v>1.4801093021526714E-3</v>
      </c>
      <c r="F14" s="168">
        <f t="shared" si="6"/>
        <v>1.7844308409130339E-3</v>
      </c>
      <c r="G14" s="168">
        <f t="shared" si="7"/>
        <v>1.9919227991587354E-3</v>
      </c>
      <c r="H14" s="168">
        <f t="shared" si="8"/>
        <v>2.040337589416066E-3</v>
      </c>
      <c r="I14" s="168">
        <f t="shared" si="9"/>
        <v>2.0818359810652063E-3</v>
      </c>
      <c r="J14" s="168">
        <f t="shared" si="10"/>
        <v>2.2962443379190979E-3</v>
      </c>
      <c r="K14" s="140">
        <f t="shared" si="2"/>
        <v>144583.91666666666</v>
      </c>
      <c r="L14" s="64">
        <v>1735007</v>
      </c>
      <c r="M14" s="36">
        <v>130800</v>
      </c>
      <c r="N14" s="36">
        <f t="shared" si="11"/>
        <v>1865807</v>
      </c>
      <c r="O14" s="65">
        <v>211</v>
      </c>
      <c r="P14" s="12">
        <v>213</v>
      </c>
      <c r="Q14" s="12">
        <v>234</v>
      </c>
      <c r="R14" s="12">
        <v>278</v>
      </c>
      <c r="S14" s="12">
        <v>308</v>
      </c>
      <c r="T14" s="12">
        <v>315</v>
      </c>
      <c r="U14" s="12">
        <v>321</v>
      </c>
      <c r="V14" s="12">
        <v>352</v>
      </c>
      <c r="W14" s="17"/>
      <c r="X14" s="86"/>
      <c r="Y14" s="87"/>
    </row>
    <row r="15" spans="1:25">
      <c r="A15" s="65">
        <v>2002</v>
      </c>
      <c r="B15" s="84" t="s">
        <v>89</v>
      </c>
      <c r="C15" s="176">
        <f t="shared" si="3"/>
        <v>1.1847582452769773E-3</v>
      </c>
      <c r="D15" s="176">
        <f t="shared" si="4"/>
        <v>1.3384566122318284E-3</v>
      </c>
      <c r="E15" s="176">
        <f t="shared" si="5"/>
        <v>1.4857508805635607E-3</v>
      </c>
      <c r="F15" s="176">
        <f t="shared" si="6"/>
        <v>1.7739353186039064E-3</v>
      </c>
      <c r="G15" s="176">
        <f t="shared" si="7"/>
        <v>1.8507845020813321E-3</v>
      </c>
      <c r="H15" s="176">
        <f t="shared" si="8"/>
        <v>2.0365033621517772E-3</v>
      </c>
      <c r="I15" s="176">
        <f t="shared" si="9"/>
        <v>2.0749279538904899E-3</v>
      </c>
      <c r="J15" s="176">
        <f t="shared" si="10"/>
        <v>2.2926673070765291E-3</v>
      </c>
      <c r="K15" s="140">
        <f t="shared" si="2"/>
        <v>156150</v>
      </c>
      <c r="L15" s="64">
        <v>1873800</v>
      </c>
      <c r="M15" s="36">
        <v>130800</v>
      </c>
      <c r="N15" s="36">
        <f t="shared" si="11"/>
        <v>2004600</v>
      </c>
      <c r="O15" s="65">
        <v>205</v>
      </c>
      <c r="P15" s="65">
        <v>229</v>
      </c>
      <c r="Q15" s="65">
        <v>252</v>
      </c>
      <c r="R15" s="65">
        <v>297</v>
      </c>
      <c r="S15" s="65">
        <v>309</v>
      </c>
      <c r="T15" s="65">
        <v>338</v>
      </c>
      <c r="U15" s="65">
        <v>344</v>
      </c>
      <c r="V15" s="65">
        <v>378</v>
      </c>
      <c r="W15" s="17"/>
      <c r="X15" s="86"/>
      <c r="Y15" s="87"/>
    </row>
    <row r="16" spans="1:25">
      <c r="A16" s="65" t="s">
        <v>94</v>
      </c>
      <c r="B16" s="84" t="s">
        <v>90</v>
      </c>
      <c r="C16" s="176">
        <f t="shared" si="3"/>
        <v>1.1887711899211319E-3</v>
      </c>
      <c r="D16" s="176">
        <f t="shared" si="4"/>
        <v>1.3381143042328319E-3</v>
      </c>
      <c r="E16" s="176">
        <f t="shared" si="5"/>
        <v>1.4874574185445319E-3</v>
      </c>
      <c r="F16" s="176">
        <f t="shared" si="6"/>
        <v>1.7741961980229958E-3</v>
      </c>
      <c r="G16" s="176">
        <f t="shared" si="7"/>
        <v>1.8518546174650799E-3</v>
      </c>
      <c r="H16" s="176">
        <f t="shared" si="8"/>
        <v>2.0370400792115878E-3</v>
      </c>
      <c r="I16" s="176">
        <f t="shared" si="9"/>
        <v>2.072882426646396E-3</v>
      </c>
      <c r="J16" s="176">
        <f t="shared" si="10"/>
        <v>2.2879365112552438E-3</v>
      </c>
      <c r="K16" s="140">
        <f t="shared" si="2"/>
        <v>167399.75</v>
      </c>
      <c r="L16" s="39">
        <v>2008797</v>
      </c>
      <c r="M16" s="36">
        <v>130800</v>
      </c>
      <c r="N16" s="36">
        <f t="shared" si="11"/>
        <v>2139597</v>
      </c>
      <c r="O16" s="141">
        <v>219</v>
      </c>
      <c r="P16" s="141">
        <v>244</v>
      </c>
      <c r="Q16" s="141">
        <v>269</v>
      </c>
      <c r="R16" s="141">
        <v>317</v>
      </c>
      <c r="S16" s="65">
        <v>330</v>
      </c>
      <c r="T16" s="141">
        <v>361</v>
      </c>
      <c r="U16" s="141">
        <v>367</v>
      </c>
      <c r="V16" s="141">
        <v>403</v>
      </c>
      <c r="W16" s="17"/>
      <c r="X16" s="86"/>
    </row>
    <row r="17" spans="1:23">
      <c r="A17" s="65">
        <v>2005</v>
      </c>
      <c r="B17" s="84" t="s">
        <v>90</v>
      </c>
      <c r="C17" s="176">
        <f t="shared" si="3"/>
        <v>1.1945691347669391E-3</v>
      </c>
      <c r="D17" s="176">
        <f t="shared" si="4"/>
        <v>1.3438902766128066E-3</v>
      </c>
      <c r="E17" s="176">
        <f t="shared" si="5"/>
        <v>1.4876810057977159E-3</v>
      </c>
      <c r="F17" s="176">
        <f t="shared" si="6"/>
        <v>1.7752624641675346E-3</v>
      </c>
      <c r="G17" s="176">
        <f t="shared" si="7"/>
        <v>1.8526882414209472E-3</v>
      </c>
      <c r="H17" s="176">
        <f t="shared" si="8"/>
        <v>2.0351918592325631E-3</v>
      </c>
      <c r="I17" s="176">
        <f t="shared" si="9"/>
        <v>2.0739047478592694E-3</v>
      </c>
      <c r="J17" s="176">
        <f t="shared" si="10"/>
        <v>2.2840604289756754E-3</v>
      </c>
      <c r="K17" s="140">
        <f t="shared" si="2"/>
        <v>180818.33333333334</v>
      </c>
      <c r="L17" s="39">
        <v>2169820</v>
      </c>
      <c r="M17" s="36">
        <v>130800</v>
      </c>
      <c r="N17" s="36">
        <f t="shared" si="11"/>
        <v>2300620</v>
      </c>
      <c r="O17" s="65">
        <v>236</v>
      </c>
      <c r="P17" s="65">
        <v>263</v>
      </c>
      <c r="Q17" s="65">
        <v>289</v>
      </c>
      <c r="R17" s="65">
        <v>341</v>
      </c>
      <c r="S17" s="65">
        <v>355</v>
      </c>
      <c r="T17" s="65">
        <v>388</v>
      </c>
      <c r="U17" s="65">
        <v>395</v>
      </c>
      <c r="V17" s="65">
        <v>433</v>
      </c>
      <c r="W17" s="17"/>
    </row>
    <row r="18" spans="1:23">
      <c r="A18" s="65">
        <v>2006</v>
      </c>
      <c r="B18" s="84" t="s">
        <v>103</v>
      </c>
      <c r="C18" s="176">
        <f t="shared" si="3"/>
        <v>1.1819411828742944E-3</v>
      </c>
      <c r="D18" s="176">
        <f t="shared" si="4"/>
        <v>1.3350671660806806E-3</v>
      </c>
      <c r="E18" s="176">
        <f t="shared" si="5"/>
        <v>1.4834079623118673E-3</v>
      </c>
      <c r="F18" s="176">
        <f t="shared" si="6"/>
        <v>1.7848747417494404E-3</v>
      </c>
      <c r="G18" s="176">
        <f t="shared" si="7"/>
        <v>1.8518673594022344E-3</v>
      </c>
      <c r="H18" s="176">
        <f t="shared" si="8"/>
        <v>2.0384896514350176E-3</v>
      </c>
      <c r="I18" s="176">
        <f t="shared" si="9"/>
        <v>2.0815563342118141E-3</v>
      </c>
      <c r="J18" s="176">
        <f t="shared" si="10"/>
        <v>2.3016749350709942E-3</v>
      </c>
      <c r="K18" s="140">
        <f t="shared" si="2"/>
        <v>208978.25</v>
      </c>
      <c r="L18" s="64">
        <v>2507739</v>
      </c>
      <c r="M18" s="36">
        <v>130800</v>
      </c>
      <c r="N18" s="64">
        <v>2638539</v>
      </c>
      <c r="O18" s="70">
        <v>267</v>
      </c>
      <c r="P18" s="70">
        <v>299</v>
      </c>
      <c r="Q18" s="70">
        <v>330</v>
      </c>
      <c r="R18" s="70">
        <v>393</v>
      </c>
      <c r="S18" s="70">
        <v>407</v>
      </c>
      <c r="T18" s="70">
        <v>446</v>
      </c>
      <c r="U18" s="70">
        <v>455</v>
      </c>
      <c r="V18" s="70">
        <v>501</v>
      </c>
      <c r="W18" s="17"/>
    </row>
    <row r="19" spans="1:23">
      <c r="A19" s="65">
        <v>2007</v>
      </c>
      <c r="B19" s="84" t="s">
        <v>81</v>
      </c>
      <c r="C19" s="176">
        <f t="shared" si="3"/>
        <v>1.1841207091102997E-3</v>
      </c>
      <c r="D19" s="176">
        <f t="shared" si="4"/>
        <v>1.3373598597010445E-3</v>
      </c>
      <c r="E19" s="176">
        <f t="shared" si="5"/>
        <v>1.4813117890438651E-3</v>
      </c>
      <c r="F19" s="176">
        <f t="shared" si="6"/>
        <v>1.7831464796013924E-3</v>
      </c>
      <c r="G19" s="176">
        <f t="shared" si="7"/>
        <v>1.8528006389608219E-3</v>
      </c>
      <c r="H19" s="176">
        <f t="shared" si="8"/>
        <v>2.0385450639193005E-3</v>
      </c>
      <c r="I19" s="176">
        <f t="shared" si="9"/>
        <v>2.0803375595349581E-3</v>
      </c>
      <c r="J19" s="176">
        <f t="shared" si="10"/>
        <v>2.3032308694851322E-3</v>
      </c>
      <c r="K19" s="140">
        <f t="shared" si="2"/>
        <v>215349.66666666666</v>
      </c>
      <c r="L19" s="64">
        <v>2584196</v>
      </c>
      <c r="M19" s="36">
        <v>130800</v>
      </c>
      <c r="N19" s="36">
        <v>2714996</v>
      </c>
      <c r="O19" s="70">
        <v>275</v>
      </c>
      <c r="P19" s="70">
        <v>308</v>
      </c>
      <c r="Q19" s="70">
        <v>339</v>
      </c>
      <c r="R19" s="70">
        <v>404</v>
      </c>
      <c r="S19" s="70">
        <v>419</v>
      </c>
      <c r="T19" s="70">
        <v>459</v>
      </c>
      <c r="U19" s="70">
        <v>468</v>
      </c>
      <c r="V19" s="70">
        <v>516</v>
      </c>
      <c r="W19" s="17"/>
    </row>
    <row r="20" spans="1:23">
      <c r="A20" s="65">
        <v>2008</v>
      </c>
      <c r="B20" s="84" t="s">
        <v>87</v>
      </c>
      <c r="C20" s="176">
        <f t="shared" si="3"/>
        <v>1.18208235931515E-3</v>
      </c>
      <c r="D20" s="176">
        <f t="shared" si="4"/>
        <v>1.3366623601486695E-3</v>
      </c>
      <c r="E20" s="176">
        <f t="shared" si="5"/>
        <v>1.4776029491439374E-3</v>
      </c>
      <c r="F20" s="176">
        <f t="shared" si="6"/>
        <v>1.7822164801982261E-3</v>
      </c>
      <c r="G20" s="176">
        <f t="shared" si="7"/>
        <v>1.8504135393894847E-3</v>
      </c>
      <c r="H20" s="176">
        <f t="shared" si="8"/>
        <v>2.0368188345122585E-3</v>
      </c>
      <c r="I20" s="176">
        <f t="shared" si="9"/>
        <v>2.0777370700270133E-3</v>
      </c>
      <c r="J20" s="176">
        <f t="shared" si="10"/>
        <v>2.3005141300517918E-3</v>
      </c>
      <c r="K20" s="140">
        <f t="shared" si="2"/>
        <v>219950.83333333334</v>
      </c>
      <c r="L20" s="64">
        <v>2639410</v>
      </c>
      <c r="M20" s="36">
        <v>130800</v>
      </c>
      <c r="N20" s="36">
        <v>2770210</v>
      </c>
      <c r="O20" s="70">
        <v>280</v>
      </c>
      <c r="P20" s="70">
        <v>314</v>
      </c>
      <c r="Q20" s="70">
        <v>345</v>
      </c>
      <c r="R20" s="70">
        <v>412</v>
      </c>
      <c r="S20" s="70">
        <v>427</v>
      </c>
      <c r="T20" s="70">
        <v>468</v>
      </c>
      <c r="U20" s="70">
        <v>477</v>
      </c>
      <c r="V20" s="70">
        <v>526</v>
      </c>
      <c r="W20" s="17"/>
    </row>
    <row r="21" spans="1:23">
      <c r="A21" s="65" t="s">
        <v>93</v>
      </c>
      <c r="B21" s="84" t="s">
        <v>88</v>
      </c>
      <c r="C21" s="176">
        <f t="shared" si="3"/>
        <v>1.1807796750188688E-3</v>
      </c>
      <c r="D21" s="176">
        <f t="shared" si="4"/>
        <v>1.3364868849114668E-3</v>
      </c>
      <c r="E21" s="176">
        <f t="shared" si="5"/>
        <v>1.4748932937048874E-3</v>
      </c>
      <c r="F21" s="176">
        <f t="shared" si="6"/>
        <v>1.7819825132152892E-3</v>
      </c>
      <c r="G21" s="176">
        <f t="shared" si="7"/>
        <v>1.8468605173372048E-3</v>
      </c>
      <c r="H21" s="176">
        <f t="shared" si="8"/>
        <v>2.0328441291533636E-3</v>
      </c>
      <c r="I21" s="176">
        <f t="shared" si="9"/>
        <v>2.0760961319013075E-3</v>
      </c>
      <c r="J21" s="176">
        <f t="shared" si="10"/>
        <v>2.2966813459158217E-3</v>
      </c>
      <c r="K21" s="140">
        <f t="shared" si="2"/>
        <v>231203.16666666666</v>
      </c>
      <c r="L21" s="64">
        <v>2774438</v>
      </c>
      <c r="M21" s="36">
        <v>130800</v>
      </c>
      <c r="N21" s="36">
        <v>2905238</v>
      </c>
      <c r="O21" s="70">
        <v>293</v>
      </c>
      <c r="P21" s="70">
        <v>329</v>
      </c>
      <c r="Q21" s="70">
        <v>361</v>
      </c>
      <c r="R21" s="70">
        <v>432</v>
      </c>
      <c r="S21" s="70">
        <v>447</v>
      </c>
      <c r="T21" s="70">
        <v>490</v>
      </c>
      <c r="U21" s="70">
        <v>500</v>
      </c>
      <c r="V21" s="70">
        <v>551</v>
      </c>
      <c r="W21" s="17"/>
    </row>
    <row r="22" spans="1:23">
      <c r="A22" s="65" t="s">
        <v>92</v>
      </c>
      <c r="B22" s="84" t="s">
        <v>81</v>
      </c>
      <c r="C22" s="176">
        <f t="shared" si="3"/>
        <v>1.1841811041229029E-3</v>
      </c>
      <c r="D22" s="176">
        <f t="shared" si="4"/>
        <v>1.3395523837418653E-3</v>
      </c>
      <c r="E22" s="176">
        <f t="shared" si="5"/>
        <v>1.4823259920403713E-3</v>
      </c>
      <c r="F22" s="176">
        <f t="shared" si="6"/>
        <v>1.7888693275048108E-3</v>
      </c>
      <c r="G22" s="176">
        <f t="shared" si="7"/>
        <v>1.8476584603336072E-3</v>
      </c>
      <c r="H22" s="176">
        <f t="shared" si="8"/>
        <v>2.0366235301404537E-3</v>
      </c>
      <c r="I22" s="176">
        <f t="shared" si="9"/>
        <v>2.0828149916487936E-3</v>
      </c>
      <c r="J22" s="176">
        <f t="shared" si="10"/>
        <v>2.2969754040965528E-3</v>
      </c>
      <c r="K22" s="140">
        <f t="shared" si="2"/>
        <v>238139.25</v>
      </c>
      <c r="L22" s="36">
        <v>2857671</v>
      </c>
      <c r="M22" s="36">
        <v>130800</v>
      </c>
      <c r="N22" s="36">
        <v>2988471</v>
      </c>
      <c r="O22" s="70">
        <v>302</v>
      </c>
      <c r="P22" s="70">
        <v>339</v>
      </c>
      <c r="Q22" s="70">
        <v>373</v>
      </c>
      <c r="R22" s="70">
        <v>446</v>
      </c>
      <c r="S22" s="70">
        <v>460</v>
      </c>
      <c r="T22" s="70">
        <v>505</v>
      </c>
      <c r="U22" s="70">
        <v>516</v>
      </c>
      <c r="V22" s="70">
        <v>567</v>
      </c>
      <c r="W22" s="17"/>
    </row>
    <row r="23" spans="1:23">
      <c r="A23" s="65" t="s">
        <v>91</v>
      </c>
      <c r="B23" s="84" t="s">
        <v>88</v>
      </c>
      <c r="C23" s="176">
        <f t="shared" si="3"/>
        <v>1.1881223886478116E-3</v>
      </c>
      <c r="D23" s="176">
        <f t="shared" si="3"/>
        <v>1.3446655412061382E-3</v>
      </c>
      <c r="E23" s="176">
        <f t="shared" si="3"/>
        <v>1.4891669127984396E-3</v>
      </c>
      <c r="F23" s="176">
        <f t="shared" si="3"/>
        <v>1.7942253639377426E-3</v>
      </c>
      <c r="G23" s="176">
        <f t="shared" si="3"/>
        <v>1.8544342687678683E-3</v>
      </c>
      <c r="H23" s="176">
        <f t="shared" si="3"/>
        <v>2.0430888372355949E-3</v>
      </c>
      <c r="I23" s="176">
        <f t="shared" si="3"/>
        <v>2.0912559610996957E-3</v>
      </c>
      <c r="J23" s="176">
        <f t="shared" si="3"/>
        <v>2.3039940914994727E-3</v>
      </c>
      <c r="K23" s="140">
        <f t="shared" si="2"/>
        <v>249132.58333333334</v>
      </c>
      <c r="L23" s="36">
        <v>2989591</v>
      </c>
      <c r="M23" s="36">
        <v>130800</v>
      </c>
      <c r="N23" s="94">
        <v>3120391</v>
      </c>
      <c r="O23" s="70">
        <v>316</v>
      </c>
      <c r="P23" s="70">
        <v>355</v>
      </c>
      <c r="Q23" s="70">
        <v>391</v>
      </c>
      <c r="R23" s="70">
        <v>467</v>
      </c>
      <c r="S23" s="70">
        <v>482</v>
      </c>
      <c r="T23" s="70">
        <v>529</v>
      </c>
      <c r="U23" s="70">
        <v>541</v>
      </c>
      <c r="V23" s="70">
        <v>594</v>
      </c>
      <c r="W23" s="17"/>
    </row>
    <row r="24" spans="1:23">
      <c r="A24" s="65">
        <v>2017</v>
      </c>
      <c r="B24" s="84" t="s">
        <v>97</v>
      </c>
      <c r="C24" s="176">
        <f t="shared" si="3"/>
        <v>1.1852105613588204E-3</v>
      </c>
      <c r="D24" s="176">
        <f t="shared" si="3"/>
        <v>1.3385419976185279E-3</v>
      </c>
      <c r="E24" s="176">
        <f t="shared" si="3"/>
        <v>1.4835852481344676E-3</v>
      </c>
      <c r="F24" s="176">
        <f t="shared" si="3"/>
        <v>1.7861040277819984E-3</v>
      </c>
      <c r="G24" s="176">
        <f t="shared" si="3"/>
        <v>1.8482654208602583E-3</v>
      </c>
      <c r="H24" s="176">
        <f t="shared" si="3"/>
        <v>2.0347496000950377E-3</v>
      </c>
      <c r="I24" s="176">
        <f t="shared" si="3"/>
        <v>2.0844787145576455E-3</v>
      </c>
      <c r="J24" s="176">
        <f t="shared" si="3"/>
        <v>2.2958274510237291E-3</v>
      </c>
      <c r="K24" s="140">
        <f t="shared" si="2"/>
        <v>241307.33333333334</v>
      </c>
      <c r="L24" s="39">
        <v>2895688</v>
      </c>
      <c r="M24" s="36">
        <v>130800</v>
      </c>
      <c r="N24" s="94">
        <v>3026488</v>
      </c>
      <c r="O24" s="37">
        <v>306</v>
      </c>
      <c r="P24" s="37">
        <v>343</v>
      </c>
      <c r="Q24" s="37">
        <v>378</v>
      </c>
      <c r="R24" s="37">
        <v>451</v>
      </c>
      <c r="S24" s="37">
        <v>466</v>
      </c>
      <c r="T24" s="37">
        <v>511</v>
      </c>
      <c r="U24" s="37">
        <v>523</v>
      </c>
      <c r="V24" s="37">
        <v>574</v>
      </c>
    </row>
    <row r="25" spans="1:23">
      <c r="A25" s="65">
        <v>2018</v>
      </c>
      <c r="B25" s="84" t="s">
        <v>98</v>
      </c>
      <c r="C25" s="176">
        <f>(O25-20)/($K25)</f>
        <v>1.1840266349610645E-3</v>
      </c>
      <c r="D25" s="176">
        <f t="shared" si="3"/>
        <v>1.3404872974380625E-3</v>
      </c>
      <c r="E25" s="176">
        <f t="shared" si="3"/>
        <v>1.484261960254763E-3</v>
      </c>
      <c r="F25" s="176">
        <f t="shared" si="3"/>
        <v>1.7844972855484617E-3</v>
      </c>
      <c r="G25" s="176">
        <f t="shared" si="3"/>
        <v>1.8479272838499473E-3</v>
      </c>
      <c r="H25" s="176">
        <f t="shared" si="3"/>
        <v>2.0339886122009718E-3</v>
      </c>
      <c r="I25" s="176">
        <f t="shared" si="3"/>
        <v>2.08473261084216E-3</v>
      </c>
      <c r="J25" s="176">
        <f t="shared" si="3"/>
        <v>2.296165938513779E-3</v>
      </c>
      <c r="K25" s="140">
        <f t="shared" si="2"/>
        <v>236481.16666666666</v>
      </c>
      <c r="L25" s="69">
        <v>2837774</v>
      </c>
      <c r="M25" s="36">
        <v>130800</v>
      </c>
      <c r="N25" s="120">
        <v>2968574</v>
      </c>
      <c r="O25" s="37">
        <v>300</v>
      </c>
      <c r="P25" s="37">
        <v>337</v>
      </c>
      <c r="Q25" s="37">
        <v>371</v>
      </c>
      <c r="R25" s="37">
        <v>442</v>
      </c>
      <c r="S25" s="37">
        <v>457</v>
      </c>
      <c r="T25" s="37">
        <v>501</v>
      </c>
      <c r="U25" s="37">
        <v>513</v>
      </c>
      <c r="V25" s="37">
        <v>563</v>
      </c>
    </row>
    <row r="26" spans="1:23" ht="16.5" thickBot="1">
      <c r="C26" s="134"/>
      <c r="D26" s="125"/>
      <c r="O26" s="119"/>
      <c r="P26" s="45"/>
    </row>
    <row r="27" spans="1:23">
      <c r="C27" s="124"/>
      <c r="D27" s="125"/>
      <c r="G27" s="126"/>
      <c r="H27" s="127" t="s">
        <v>57</v>
      </c>
      <c r="I27" s="164" t="s">
        <v>58</v>
      </c>
      <c r="J27" s="127" t="s">
        <v>59</v>
      </c>
      <c r="K27" s="137"/>
      <c r="N27" s="44"/>
      <c r="O27" s="86"/>
    </row>
    <row r="28" spans="1:23">
      <c r="C28" s="134"/>
      <c r="D28" s="125"/>
      <c r="G28" s="128" t="s">
        <v>4</v>
      </c>
      <c r="H28" s="129">
        <v>1973</v>
      </c>
      <c r="I28" s="165" t="s">
        <v>53</v>
      </c>
      <c r="J28" s="129">
        <v>2016</v>
      </c>
      <c r="K28" s="138"/>
      <c r="O28" s="86"/>
    </row>
    <row r="29" spans="1:23" ht="16.5" thickBot="1">
      <c r="C29" s="134"/>
      <c r="D29" s="125"/>
      <c r="G29" s="130" t="s">
        <v>5</v>
      </c>
      <c r="H29" s="131" t="s">
        <v>54</v>
      </c>
      <c r="I29" s="166" t="s">
        <v>55</v>
      </c>
      <c r="J29" s="131" t="s">
        <v>56</v>
      </c>
      <c r="K29" s="138"/>
      <c r="O29" s="86"/>
    </row>
    <row r="30" spans="1:23" ht="16.5" thickBot="1">
      <c r="C30" s="134"/>
      <c r="D30" s="125"/>
      <c r="G30" s="132" t="s">
        <v>17</v>
      </c>
      <c r="H30" s="133">
        <v>1.2340000000000001E-3</v>
      </c>
      <c r="I30" s="167">
        <v>7.94E-4</v>
      </c>
      <c r="J30" s="133">
        <v>1.1839999999999999E-3</v>
      </c>
      <c r="K30" s="139"/>
      <c r="O30" s="86"/>
    </row>
    <row r="31" spans="1:23" ht="16.5" thickBot="1">
      <c r="C31" s="134"/>
      <c r="D31" s="125"/>
      <c r="G31" s="132" t="s">
        <v>18</v>
      </c>
      <c r="H31" s="133">
        <v>1.372E-3</v>
      </c>
      <c r="I31" s="167">
        <v>1.0280000000000001E-3</v>
      </c>
      <c r="J31" s="133">
        <v>1.3389999999999999E-3</v>
      </c>
      <c r="K31" s="139"/>
      <c r="O31" s="86"/>
    </row>
    <row r="32" spans="1:23" ht="16.5" thickBot="1">
      <c r="C32" s="134"/>
      <c r="D32" s="125"/>
      <c r="G32" s="132" t="s">
        <v>19</v>
      </c>
      <c r="H32" s="133">
        <v>1.5089999999999999E-3</v>
      </c>
      <c r="I32" s="167">
        <v>1.4139999999999999E-3</v>
      </c>
      <c r="J32" s="133">
        <v>1.4829999999999999E-3</v>
      </c>
      <c r="K32" s="139"/>
      <c r="O32" s="86"/>
    </row>
    <row r="33" spans="3:15" ht="16.5" thickBot="1">
      <c r="C33" s="134"/>
      <c r="D33" s="125"/>
      <c r="G33" s="132" t="s">
        <v>20</v>
      </c>
      <c r="H33" s="133">
        <v>1.7830000000000001E-3</v>
      </c>
      <c r="I33" s="167">
        <v>1.6620000000000001E-3</v>
      </c>
      <c r="J33" s="133">
        <v>1.787E-3</v>
      </c>
      <c r="K33" s="139"/>
      <c r="O33" s="86"/>
    </row>
    <row r="34" spans="3:15" ht="16.5" thickBot="1">
      <c r="G34" s="132" t="s">
        <v>21</v>
      </c>
      <c r="H34" s="133">
        <v>1.8519999999999999E-3</v>
      </c>
      <c r="I34" s="167">
        <v>1.8420000000000001E-3</v>
      </c>
      <c r="J34" s="133">
        <v>1.8469999999999999E-3</v>
      </c>
      <c r="K34" s="139"/>
      <c r="O34" s="86"/>
    </row>
    <row r="35" spans="3:15" ht="16.5" thickBot="1">
      <c r="G35" s="132" t="s">
        <v>22</v>
      </c>
      <c r="H35" s="133">
        <v>2.0230000000000001E-3</v>
      </c>
      <c r="I35" s="167">
        <v>2.0939999999999999E-3</v>
      </c>
      <c r="J35" s="133">
        <v>2.0349999999999999E-3</v>
      </c>
      <c r="K35" s="139"/>
    </row>
    <row r="36" spans="3:15" ht="16.5" thickBot="1">
      <c r="G36" s="132" t="s">
        <v>39</v>
      </c>
      <c r="H36" s="133">
        <v>2.0579999999999999E-3</v>
      </c>
      <c r="I36" s="167">
        <v>2.163E-3</v>
      </c>
      <c r="J36" s="133">
        <v>2.0830000000000002E-3</v>
      </c>
      <c r="K36" s="139"/>
    </row>
    <row r="37" spans="3:15" ht="16.5" thickBot="1">
      <c r="G37" s="132" t="s">
        <v>24</v>
      </c>
      <c r="H37" s="133">
        <v>2.264E-3</v>
      </c>
      <c r="I37" s="167">
        <v>2.4139999999999999E-3</v>
      </c>
      <c r="J37" s="133">
        <v>2.2950000000000002E-3</v>
      </c>
      <c r="K37" s="13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K21"/>
  <sheetViews>
    <sheetView showGridLines="0" workbookViewId="0">
      <selection activeCell="L19" sqref="L19"/>
    </sheetView>
  </sheetViews>
  <sheetFormatPr defaultRowHeight="15.75"/>
  <cols>
    <col min="1" max="1" width="9.140625" style="17"/>
    <col min="2" max="2" width="9.42578125" style="17" bestFit="1" customWidth="1"/>
    <col min="3" max="3" width="4.42578125" style="17" bestFit="1" customWidth="1"/>
    <col min="4" max="7" width="9.5703125" style="17" bestFit="1" customWidth="1"/>
    <col min="8" max="8" width="7.28515625" style="17" bestFit="1" customWidth="1"/>
    <col min="9" max="9" width="9.5703125" style="17" bestFit="1" customWidth="1"/>
    <col min="10" max="10" width="8.42578125" style="17" bestFit="1" customWidth="1"/>
    <col min="11" max="11" width="9.5703125" style="17" customWidth="1"/>
    <col min="12" max="16384" width="9.140625" style="17"/>
  </cols>
  <sheetData>
    <row r="2" spans="2:11">
      <c r="B2" s="154"/>
      <c r="C2" s="154"/>
      <c r="D2" s="155" t="s">
        <v>57</v>
      </c>
      <c r="E2" s="155" t="s">
        <v>58</v>
      </c>
      <c r="F2" s="155" t="s">
        <v>59</v>
      </c>
      <c r="G2" s="155" t="s">
        <v>133</v>
      </c>
      <c r="J2" s="156" t="s">
        <v>132</v>
      </c>
    </row>
    <row r="3" spans="2:11">
      <c r="B3" s="157" t="s">
        <v>4</v>
      </c>
      <c r="C3" s="157"/>
      <c r="D3" s="157">
        <v>1973</v>
      </c>
      <c r="E3" s="157" t="s">
        <v>53</v>
      </c>
      <c r="F3" s="157">
        <v>2016</v>
      </c>
      <c r="G3" s="157">
        <v>1996</v>
      </c>
      <c r="H3" s="20" t="s">
        <v>53</v>
      </c>
      <c r="J3" s="20" t="s">
        <v>53</v>
      </c>
    </row>
    <row r="4" spans="2:11">
      <c r="B4" s="158" t="s">
        <v>5</v>
      </c>
      <c r="C4" s="158"/>
      <c r="D4" s="158" t="s">
        <v>54</v>
      </c>
      <c r="E4" s="158" t="s">
        <v>55</v>
      </c>
      <c r="F4" s="158" t="s">
        <v>56</v>
      </c>
      <c r="G4" s="158" t="s">
        <v>54</v>
      </c>
      <c r="H4" s="20" t="s">
        <v>55</v>
      </c>
      <c r="J4" s="20" t="s">
        <v>55</v>
      </c>
    </row>
    <row r="5" spans="2:11">
      <c r="B5" s="159" t="s">
        <v>17</v>
      </c>
      <c r="C5" s="14">
        <v>5</v>
      </c>
      <c r="D5" s="160">
        <v>1.2340000000000001E-3</v>
      </c>
      <c r="E5" s="160">
        <v>7.94E-4</v>
      </c>
      <c r="F5" s="160">
        <v>1.1839999999999999E-3</v>
      </c>
      <c r="G5" s="28">
        <v>1.23E-3</v>
      </c>
      <c r="H5" s="17">
        <v>426</v>
      </c>
      <c r="I5" s="66">
        <f>H5/$H$13</f>
        <v>5.9174885400750103E-2</v>
      </c>
      <c r="J5" s="36">
        <f>C5*H5</f>
        <v>2130</v>
      </c>
      <c r="K5" s="66">
        <f>H5/$J$13</f>
        <v>7.9350000558802824E-4</v>
      </c>
    </row>
    <row r="6" spans="2:11">
      <c r="B6" s="159" t="s">
        <v>18</v>
      </c>
      <c r="C6" s="14">
        <v>5</v>
      </c>
      <c r="D6" s="160">
        <v>1.372E-3</v>
      </c>
      <c r="E6" s="160">
        <v>1.0280000000000001E-3</v>
      </c>
      <c r="F6" s="160">
        <v>1.3389999999999999E-3</v>
      </c>
      <c r="G6" s="28">
        <v>1.3699999999999999E-3</v>
      </c>
      <c r="H6" s="17">
        <v>552</v>
      </c>
      <c r="I6" s="66">
        <f t="shared" ref="I6:I12" si="0">H6/$H$13</f>
        <v>7.6677316293929709E-2</v>
      </c>
      <c r="J6" s="36">
        <f t="shared" ref="J6:J12" si="1">C6*H6</f>
        <v>2760</v>
      </c>
      <c r="K6" s="66">
        <f t="shared" ref="K6:K12" si="2">H6/$J$13</f>
        <v>1.0281971903394168E-3</v>
      </c>
    </row>
    <row r="7" spans="2:11">
      <c r="B7" s="159" t="s">
        <v>19</v>
      </c>
      <c r="C7" s="14">
        <v>131</v>
      </c>
      <c r="D7" s="160">
        <v>1.5089999999999999E-3</v>
      </c>
      <c r="E7" s="160">
        <v>1.4139999999999999E-3</v>
      </c>
      <c r="F7" s="160">
        <v>1.4829999999999999E-3</v>
      </c>
      <c r="G7" s="28">
        <v>1.5100000000000001E-3</v>
      </c>
      <c r="H7" s="17">
        <v>759</v>
      </c>
      <c r="I7" s="66">
        <f t="shared" si="0"/>
        <v>0.10543130990415335</v>
      </c>
      <c r="J7" s="36">
        <f t="shared" si="1"/>
        <v>99429</v>
      </c>
      <c r="K7" s="66">
        <f t="shared" si="2"/>
        <v>1.4137711367166982E-3</v>
      </c>
    </row>
    <row r="8" spans="2:11">
      <c r="B8" s="159" t="s">
        <v>20</v>
      </c>
      <c r="C8" s="14">
        <v>13</v>
      </c>
      <c r="D8" s="160">
        <v>1.7830000000000001E-3</v>
      </c>
      <c r="E8" s="160">
        <v>1.6620000000000001E-3</v>
      </c>
      <c r="F8" s="160">
        <v>1.787E-3</v>
      </c>
      <c r="G8" s="28">
        <v>1.7799999999999999E-3</v>
      </c>
      <c r="H8" s="17">
        <v>892</v>
      </c>
      <c r="I8" s="66">
        <f t="shared" si="0"/>
        <v>0.12390609806917627</v>
      </c>
      <c r="J8" s="36">
        <f t="shared" si="1"/>
        <v>11596</v>
      </c>
      <c r="K8" s="66">
        <f t="shared" si="2"/>
        <v>1.6615070539542751E-3</v>
      </c>
    </row>
    <row r="9" spans="2:11">
      <c r="B9" s="159" t="s">
        <v>21</v>
      </c>
      <c r="C9" s="14">
        <v>206</v>
      </c>
      <c r="D9" s="160">
        <v>1.8519999999999999E-3</v>
      </c>
      <c r="E9" s="160">
        <v>1.8420000000000001E-3</v>
      </c>
      <c r="F9" s="160">
        <v>1.8469999999999999E-3</v>
      </c>
      <c r="G9" s="28">
        <v>1.8500000000000001E-3</v>
      </c>
      <c r="H9" s="17">
        <v>989</v>
      </c>
      <c r="I9" s="66">
        <f t="shared" si="0"/>
        <v>0.13738019169329074</v>
      </c>
      <c r="J9" s="36">
        <f t="shared" si="1"/>
        <v>203734</v>
      </c>
      <c r="K9" s="66">
        <f t="shared" si="2"/>
        <v>1.8421866326914552E-3</v>
      </c>
    </row>
    <row r="10" spans="2:11">
      <c r="B10" s="159" t="s">
        <v>22</v>
      </c>
      <c r="C10" s="14">
        <v>11</v>
      </c>
      <c r="D10" s="160">
        <v>2.0230000000000001E-3</v>
      </c>
      <c r="E10" s="160">
        <v>2.0939999999999999E-3</v>
      </c>
      <c r="F10" s="160">
        <v>2.0349999999999999E-3</v>
      </c>
      <c r="G10" s="28">
        <v>2.0219999999999999E-3</v>
      </c>
      <c r="H10" s="17">
        <v>1124</v>
      </c>
      <c r="I10" s="66">
        <f t="shared" si="0"/>
        <v>0.15613279622169746</v>
      </c>
      <c r="J10" s="36">
        <f t="shared" si="1"/>
        <v>12364</v>
      </c>
      <c r="K10" s="66">
        <f t="shared" si="2"/>
        <v>2.093647902067943E-3</v>
      </c>
    </row>
    <row r="11" spans="2:11">
      <c r="B11" s="159" t="s">
        <v>39</v>
      </c>
      <c r="C11" s="14">
        <v>153</v>
      </c>
      <c r="D11" s="160">
        <v>2.0579999999999999E-3</v>
      </c>
      <c r="E11" s="160">
        <v>2.163E-3</v>
      </c>
      <c r="F11" s="160">
        <v>2.0830000000000002E-3</v>
      </c>
      <c r="G11" s="28">
        <v>2.0600000000000002E-3</v>
      </c>
      <c r="H11" s="17">
        <v>1161</v>
      </c>
      <c r="I11" s="66">
        <f t="shared" si="0"/>
        <v>0.16127239894429782</v>
      </c>
      <c r="J11" s="36">
        <f t="shared" si="1"/>
        <v>177633</v>
      </c>
      <c r="K11" s="66">
        <f t="shared" si="2"/>
        <v>2.1625669166377951E-3</v>
      </c>
    </row>
    <row r="12" spans="2:11">
      <c r="B12" s="159" t="s">
        <v>24</v>
      </c>
      <c r="C12" s="14">
        <v>21</v>
      </c>
      <c r="D12" s="160">
        <v>2.264E-3</v>
      </c>
      <c r="E12" s="160">
        <v>2.4139999999999999E-3</v>
      </c>
      <c r="F12" s="160">
        <v>2.2950000000000002E-3</v>
      </c>
      <c r="G12" s="28">
        <v>2.2599999999999999E-3</v>
      </c>
      <c r="H12" s="152">
        <v>1296</v>
      </c>
      <c r="I12" s="153">
        <f t="shared" si="0"/>
        <v>0.18002500347270453</v>
      </c>
      <c r="J12" s="67">
        <f t="shared" si="1"/>
        <v>27216</v>
      </c>
      <c r="K12" s="66">
        <f t="shared" si="2"/>
        <v>2.4140281860142829E-3</v>
      </c>
    </row>
    <row r="13" spans="2:11">
      <c r="H13" s="17">
        <f>SUM(H5:H12)</f>
        <v>7199</v>
      </c>
      <c r="I13" s="66">
        <f>SUM(I5:I12)</f>
        <v>1</v>
      </c>
      <c r="J13" s="36">
        <f>SUM(J5:J12)</f>
        <v>536862</v>
      </c>
    </row>
    <row r="14" spans="2:11">
      <c r="G14" s="18"/>
    </row>
    <row r="15" spans="2:11">
      <c r="G15" s="18"/>
    </row>
    <row r="16" spans="2:11">
      <c r="G16" s="18"/>
    </row>
    <row r="17" spans="7:7">
      <c r="G17" s="18"/>
    </row>
    <row r="18" spans="7:7">
      <c r="G18" s="18"/>
    </row>
    <row r="19" spans="7:7">
      <c r="G19" s="18"/>
    </row>
    <row r="20" spans="7:7">
      <c r="G20" s="18"/>
    </row>
    <row r="21" spans="7:7">
      <c r="G21" s="18"/>
    </row>
  </sheetData>
  <pageMargins left="0.7" right="0.7" top="0.75" bottom="0.75" header="0.3" footer="0.3"/>
  <pageSetup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1"/>
  <sheetViews>
    <sheetView workbookViewId="0">
      <selection activeCell="M10" sqref="M10"/>
    </sheetView>
  </sheetViews>
  <sheetFormatPr defaultRowHeight="15"/>
  <cols>
    <col min="1" max="1" width="5" bestFit="1" customWidth="1"/>
    <col min="2" max="2" width="2" bestFit="1" customWidth="1"/>
    <col min="3" max="4" width="4" bestFit="1" customWidth="1"/>
    <col min="5" max="5" width="8" bestFit="1" customWidth="1"/>
  </cols>
  <sheetData>
    <row r="1" spans="1:5">
      <c r="A1">
        <v>2017</v>
      </c>
      <c r="B1">
        <v>2</v>
      </c>
      <c r="C1">
        <v>306</v>
      </c>
      <c r="D1">
        <v>378</v>
      </c>
    </row>
    <row r="2" spans="1:5">
      <c r="A2">
        <v>2017</v>
      </c>
      <c r="B2">
        <v>1</v>
      </c>
      <c r="C2">
        <v>298</v>
      </c>
      <c r="D2">
        <v>374</v>
      </c>
      <c r="E2" t="s">
        <v>76</v>
      </c>
    </row>
    <row r="3" spans="1:5">
      <c r="A3">
        <v>2016</v>
      </c>
      <c r="B3">
        <v>1</v>
      </c>
      <c r="C3">
        <v>316</v>
      </c>
      <c r="D3">
        <v>391</v>
      </c>
    </row>
    <row r="4" spans="1:5">
      <c r="A4">
        <v>2015</v>
      </c>
      <c r="B4">
        <v>1</v>
      </c>
      <c r="C4">
        <v>316</v>
      </c>
      <c r="D4">
        <v>391</v>
      </c>
    </row>
    <row r="5" spans="1:5">
      <c r="A5">
        <v>2014</v>
      </c>
      <c r="B5">
        <v>2</v>
      </c>
      <c r="C5">
        <v>316</v>
      </c>
      <c r="D5">
        <v>391</v>
      </c>
    </row>
    <row r="6" spans="1:5">
      <c r="A6">
        <v>2014</v>
      </c>
      <c r="B6">
        <v>1</v>
      </c>
      <c r="C6">
        <v>302</v>
      </c>
      <c r="D6">
        <v>373</v>
      </c>
    </row>
    <row r="7" spans="1:5">
      <c r="A7">
        <v>2013</v>
      </c>
      <c r="B7">
        <v>1</v>
      </c>
      <c r="C7">
        <v>302</v>
      </c>
      <c r="D7">
        <v>373</v>
      </c>
    </row>
    <row r="8" spans="1:5">
      <c r="A8">
        <v>2012</v>
      </c>
      <c r="B8">
        <v>1</v>
      </c>
      <c r="C8">
        <v>302</v>
      </c>
      <c r="D8">
        <v>373</v>
      </c>
    </row>
    <row r="9" spans="1:5">
      <c r="A9">
        <v>2011</v>
      </c>
      <c r="B9">
        <v>2</v>
      </c>
      <c r="C9">
        <v>302</v>
      </c>
      <c r="D9">
        <v>373</v>
      </c>
    </row>
    <row r="10" spans="1:5">
      <c r="A10">
        <v>2011</v>
      </c>
      <c r="B10">
        <v>1</v>
      </c>
      <c r="C10">
        <v>293</v>
      </c>
      <c r="D10">
        <v>361</v>
      </c>
    </row>
    <row r="11" spans="1:5">
      <c r="A11">
        <v>2010</v>
      </c>
      <c r="B11">
        <v>4</v>
      </c>
      <c r="C11">
        <v>293</v>
      </c>
      <c r="D11">
        <v>361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S28"/>
  <sheetViews>
    <sheetView topLeftCell="A34" workbookViewId="0">
      <selection activeCell="L7" sqref="L7"/>
    </sheetView>
  </sheetViews>
  <sheetFormatPr defaultRowHeight="15"/>
  <cols>
    <col min="1" max="1" width="9.7109375" bestFit="1" customWidth="1"/>
    <col min="2" max="2" width="6" bestFit="1" customWidth="1"/>
    <col min="3" max="10" width="6.5703125" bestFit="1" customWidth="1"/>
    <col min="11" max="11" width="2.7109375" customWidth="1"/>
    <col min="12" max="19" width="5.28515625" customWidth="1"/>
  </cols>
  <sheetData>
    <row r="2" spans="1:19">
      <c r="C2" t="s">
        <v>17</v>
      </c>
      <c r="D2" t="s">
        <v>41</v>
      </c>
      <c r="E2" t="s">
        <v>19</v>
      </c>
      <c r="F2" t="s">
        <v>42</v>
      </c>
      <c r="G2" t="s">
        <v>21</v>
      </c>
      <c r="H2" t="s">
        <v>43</v>
      </c>
      <c r="I2" t="s">
        <v>39</v>
      </c>
      <c r="J2" t="s">
        <v>44</v>
      </c>
    </row>
    <row r="3" spans="1:19">
      <c r="C3">
        <v>5</v>
      </c>
      <c r="D3">
        <v>5</v>
      </c>
      <c r="E3">
        <v>131</v>
      </c>
      <c r="F3">
        <v>13</v>
      </c>
      <c r="G3">
        <v>206</v>
      </c>
      <c r="H3">
        <v>11</v>
      </c>
      <c r="I3">
        <v>153</v>
      </c>
      <c r="J3">
        <v>21</v>
      </c>
    </row>
    <row r="4" spans="1:19">
      <c r="A4">
        <v>1973</v>
      </c>
    </row>
    <row r="5" spans="1:19">
      <c r="A5">
        <v>2016</v>
      </c>
    </row>
    <row r="6" spans="1:19">
      <c r="A6">
        <v>1988</v>
      </c>
      <c r="C6" s="151">
        <v>160</v>
      </c>
      <c r="D6" s="151">
        <v>178</v>
      </c>
      <c r="E6" s="151">
        <v>196</v>
      </c>
      <c r="F6" s="151">
        <v>231</v>
      </c>
      <c r="G6" s="151">
        <v>240</v>
      </c>
      <c r="H6" s="151">
        <v>262</v>
      </c>
      <c r="I6" s="151">
        <v>267.5</v>
      </c>
      <c r="J6" s="151">
        <v>293.5</v>
      </c>
    </row>
    <row r="7" spans="1:19">
      <c r="A7" t="s">
        <v>71</v>
      </c>
      <c r="B7">
        <v>0.03</v>
      </c>
      <c r="C7" s="151">
        <v>165</v>
      </c>
      <c r="D7" s="151">
        <v>183.5</v>
      </c>
      <c r="E7" s="151">
        <v>202.5</v>
      </c>
      <c r="F7" s="151">
        <v>238.5</v>
      </c>
      <c r="G7" s="151">
        <v>248</v>
      </c>
      <c r="H7" s="151">
        <v>270.5</v>
      </c>
      <c r="I7" s="151">
        <v>276</v>
      </c>
      <c r="J7" s="151">
        <v>302.5</v>
      </c>
      <c r="L7" s="151">
        <f>(C7-C6)/C6</f>
        <v>3.125E-2</v>
      </c>
      <c r="M7" s="151">
        <f t="shared" ref="M7:S7" si="0">(D7-D6)/D6</f>
        <v>3.0898876404494381E-2</v>
      </c>
      <c r="N7" s="151">
        <f t="shared" si="0"/>
        <v>3.3163265306122451E-2</v>
      </c>
      <c r="O7" s="151">
        <f t="shared" si="0"/>
        <v>3.2467532467532464E-2</v>
      </c>
      <c r="P7" s="151">
        <f t="shared" si="0"/>
        <v>3.3333333333333333E-2</v>
      </c>
      <c r="Q7" s="151">
        <f t="shared" si="0"/>
        <v>3.2442748091603052E-2</v>
      </c>
      <c r="R7" s="151">
        <f t="shared" si="0"/>
        <v>3.1775700934579439E-2</v>
      </c>
      <c r="S7" s="151">
        <f t="shared" si="0"/>
        <v>3.0664395229982964E-2</v>
      </c>
    </row>
    <row r="8" spans="1:19">
      <c r="A8" t="s">
        <v>80</v>
      </c>
      <c r="B8">
        <v>1.4999999999999999E-2</v>
      </c>
      <c r="C8">
        <v>167</v>
      </c>
      <c r="D8">
        <v>186</v>
      </c>
      <c r="E8">
        <v>205</v>
      </c>
      <c r="F8">
        <v>242</v>
      </c>
      <c r="G8">
        <v>251</v>
      </c>
      <c r="H8">
        <v>275</v>
      </c>
      <c r="I8">
        <v>280</v>
      </c>
      <c r="J8">
        <v>307</v>
      </c>
      <c r="L8" s="151">
        <f>(C8-C7)/C7</f>
        <v>1.2121212121212121E-2</v>
      </c>
      <c r="M8" s="151">
        <f t="shared" ref="M8" si="1">(D8-D7)/D7</f>
        <v>1.3623978201634877E-2</v>
      </c>
      <c r="N8" s="151">
        <f t="shared" ref="N8" si="2">(E8-E7)/E7</f>
        <v>1.2345679012345678E-2</v>
      </c>
      <c r="O8" s="151">
        <f t="shared" ref="O8" si="3">(F8-F7)/F7</f>
        <v>1.4675052410901468E-2</v>
      </c>
      <c r="P8" s="151">
        <f t="shared" ref="P8" si="4">(G8-G7)/G7</f>
        <v>1.2096774193548387E-2</v>
      </c>
      <c r="Q8" s="151">
        <f t="shared" ref="Q8" si="5">(H8-H7)/H7</f>
        <v>1.6635859519408502E-2</v>
      </c>
      <c r="R8" s="151">
        <f t="shared" ref="R8" si="6">(I8-I7)/I7</f>
        <v>1.4492753623188406E-2</v>
      </c>
      <c r="S8" s="151">
        <f t="shared" ref="S8" si="7">(J8-J7)/J7</f>
        <v>1.487603305785124E-2</v>
      </c>
    </row>
    <row r="9" spans="1:19">
      <c r="A9">
        <v>1998</v>
      </c>
      <c r="B9">
        <v>0.06</v>
      </c>
      <c r="C9">
        <v>179</v>
      </c>
      <c r="D9">
        <v>198</v>
      </c>
      <c r="E9">
        <v>218</v>
      </c>
      <c r="F9">
        <v>257</v>
      </c>
      <c r="G9">
        <v>267</v>
      </c>
      <c r="H9">
        <v>292</v>
      </c>
      <c r="I9">
        <v>297</v>
      </c>
      <c r="J9">
        <v>326</v>
      </c>
      <c r="L9" s="151">
        <f>(C9-C8)/C8</f>
        <v>7.1856287425149698E-2</v>
      </c>
      <c r="M9" s="151">
        <f t="shared" ref="M9:M24" si="8">(D9-D8)/D8</f>
        <v>6.4516129032258063E-2</v>
      </c>
      <c r="N9" s="151">
        <f t="shared" ref="N9:N24" si="9">(E9-E8)/E8</f>
        <v>6.3414634146341464E-2</v>
      </c>
      <c r="O9" s="151">
        <f t="shared" ref="O9:O24" si="10">(F9-F8)/F8</f>
        <v>6.1983471074380167E-2</v>
      </c>
      <c r="P9" s="151">
        <f t="shared" ref="P9:P24" si="11">(G9-G8)/G8</f>
        <v>6.3745019920318724E-2</v>
      </c>
      <c r="Q9" s="151">
        <f t="shared" ref="Q9:Q24" si="12">(H9-H8)/H8</f>
        <v>6.1818181818181821E-2</v>
      </c>
      <c r="R9" s="151">
        <f t="shared" ref="R9:R24" si="13">(I9-I8)/I8</f>
        <v>6.0714285714285714E-2</v>
      </c>
      <c r="S9" s="151">
        <f t="shared" ref="S9:S24" si="14">(J9-J8)/J8</f>
        <v>6.1889250814332247E-2</v>
      </c>
    </row>
    <row r="10" spans="1:19">
      <c r="A10" t="s">
        <v>128</v>
      </c>
      <c r="B10">
        <v>0.02</v>
      </c>
      <c r="C10">
        <v>181</v>
      </c>
      <c r="D10">
        <v>202</v>
      </c>
      <c r="E10">
        <v>223</v>
      </c>
      <c r="F10">
        <v>263</v>
      </c>
      <c r="G10">
        <v>273</v>
      </c>
      <c r="H10">
        <v>298</v>
      </c>
      <c r="I10">
        <v>304</v>
      </c>
      <c r="J10">
        <v>333</v>
      </c>
      <c r="L10" s="151">
        <f>(C10-C9)/C9</f>
        <v>1.11731843575419E-2</v>
      </c>
      <c r="M10" s="151">
        <f t="shared" si="8"/>
        <v>2.0202020202020204E-2</v>
      </c>
      <c r="N10" s="151">
        <f t="shared" si="9"/>
        <v>2.2935779816513763E-2</v>
      </c>
      <c r="O10" s="151">
        <f t="shared" si="10"/>
        <v>2.3346303501945526E-2</v>
      </c>
      <c r="P10" s="151">
        <f t="shared" si="11"/>
        <v>2.247191011235955E-2</v>
      </c>
      <c r="Q10" s="151">
        <f t="shared" si="12"/>
        <v>2.0547945205479451E-2</v>
      </c>
      <c r="R10" s="151">
        <f t="shared" si="13"/>
        <v>2.3569023569023569E-2</v>
      </c>
      <c r="S10" s="151">
        <f t="shared" si="14"/>
        <v>2.1472392638036811E-2</v>
      </c>
    </row>
    <row r="11" spans="1:19">
      <c r="C11">
        <v>211</v>
      </c>
      <c r="D11">
        <v>233</v>
      </c>
      <c r="E11">
        <v>255</v>
      </c>
      <c r="F11">
        <v>298</v>
      </c>
      <c r="G11">
        <v>308</v>
      </c>
      <c r="H11">
        <v>335</v>
      </c>
      <c r="I11">
        <v>341</v>
      </c>
      <c r="J11">
        <v>372</v>
      </c>
      <c r="L11" s="151">
        <f t="shared" ref="L11:L24" si="15">(C11-C10)/C10</f>
        <v>0.16574585635359115</v>
      </c>
      <c r="M11" s="151">
        <f t="shared" si="8"/>
        <v>0.15346534653465346</v>
      </c>
      <c r="N11" s="151">
        <f t="shared" si="9"/>
        <v>0.14349775784753363</v>
      </c>
      <c r="O11" s="151">
        <f t="shared" si="10"/>
        <v>0.13307984790874525</v>
      </c>
      <c r="P11" s="151">
        <f t="shared" si="11"/>
        <v>0.12820512820512819</v>
      </c>
      <c r="Q11" s="151">
        <f t="shared" si="12"/>
        <v>0.12416107382550336</v>
      </c>
      <c r="R11" s="151">
        <f t="shared" si="13"/>
        <v>0.12171052631578948</v>
      </c>
      <c r="S11" s="151">
        <f t="shared" si="14"/>
        <v>0.11711711711711711</v>
      </c>
    </row>
    <row r="12" spans="1:19">
      <c r="A12">
        <v>2001</v>
      </c>
      <c r="B12">
        <v>0.06</v>
      </c>
      <c r="C12">
        <v>211</v>
      </c>
      <c r="D12">
        <v>213</v>
      </c>
      <c r="E12">
        <v>234</v>
      </c>
      <c r="F12">
        <v>278</v>
      </c>
      <c r="G12">
        <v>308</v>
      </c>
      <c r="H12">
        <v>315</v>
      </c>
      <c r="I12">
        <v>321</v>
      </c>
      <c r="J12">
        <v>352</v>
      </c>
      <c r="L12" s="151">
        <f t="shared" si="15"/>
        <v>0</v>
      </c>
      <c r="M12" s="151">
        <f t="shared" si="8"/>
        <v>-8.5836909871244635E-2</v>
      </c>
      <c r="N12" s="151">
        <f t="shared" si="9"/>
        <v>-8.2352941176470587E-2</v>
      </c>
      <c r="O12" s="151">
        <f t="shared" si="10"/>
        <v>-6.7114093959731544E-2</v>
      </c>
      <c r="P12" s="151">
        <f t="shared" si="11"/>
        <v>0</v>
      </c>
      <c r="Q12" s="151">
        <f t="shared" si="12"/>
        <v>-5.9701492537313432E-2</v>
      </c>
      <c r="R12" s="151">
        <f t="shared" si="13"/>
        <v>-5.865102639296188E-2</v>
      </c>
      <c r="S12" s="151">
        <f t="shared" si="14"/>
        <v>-5.3763440860215055E-2</v>
      </c>
    </row>
    <row r="13" spans="1:19">
      <c r="A13">
        <v>2002</v>
      </c>
      <c r="B13">
        <v>0.08</v>
      </c>
      <c r="C13">
        <v>205</v>
      </c>
      <c r="D13">
        <v>229</v>
      </c>
      <c r="E13">
        <v>252</v>
      </c>
      <c r="F13">
        <v>297</v>
      </c>
      <c r="G13">
        <v>309</v>
      </c>
      <c r="H13">
        <v>338</v>
      </c>
      <c r="I13">
        <v>344</v>
      </c>
      <c r="J13">
        <v>378</v>
      </c>
      <c r="L13" s="151">
        <f t="shared" si="15"/>
        <v>-2.843601895734597E-2</v>
      </c>
      <c r="M13" s="151">
        <f t="shared" si="8"/>
        <v>7.5117370892018781E-2</v>
      </c>
      <c r="N13" s="151">
        <f t="shared" si="9"/>
        <v>7.6923076923076927E-2</v>
      </c>
      <c r="O13" s="151">
        <f t="shared" si="10"/>
        <v>6.83453237410072E-2</v>
      </c>
      <c r="P13" s="151">
        <f t="shared" si="11"/>
        <v>3.246753246753247E-3</v>
      </c>
      <c r="Q13" s="151">
        <f t="shared" si="12"/>
        <v>7.301587301587302E-2</v>
      </c>
      <c r="R13" s="151">
        <f t="shared" si="13"/>
        <v>7.1651090342679122E-2</v>
      </c>
      <c r="S13" s="151">
        <f t="shared" si="14"/>
        <v>7.3863636363636367E-2</v>
      </c>
    </row>
    <row r="14" spans="1:19">
      <c r="L14" s="151">
        <f>(C13-C10)/C10</f>
        <v>0.13259668508287292</v>
      </c>
      <c r="M14" s="151">
        <f t="shared" ref="M14:S14" si="16">(D13-D10)/D10</f>
        <v>0.13366336633663367</v>
      </c>
      <c r="N14" s="151">
        <f t="shared" si="16"/>
        <v>0.13004484304932734</v>
      </c>
      <c r="O14" s="151">
        <f t="shared" si="16"/>
        <v>0.12927756653992395</v>
      </c>
      <c r="P14" s="151">
        <f t="shared" si="16"/>
        <v>0.13186813186813187</v>
      </c>
      <c r="Q14" s="151">
        <f t="shared" si="16"/>
        <v>0.13422818791946309</v>
      </c>
      <c r="R14" s="151">
        <f t="shared" si="16"/>
        <v>0.13157894736842105</v>
      </c>
      <c r="S14" s="151">
        <f t="shared" si="16"/>
        <v>0.13513513513513514</v>
      </c>
    </row>
    <row r="15" spans="1:19">
      <c r="A15" t="s">
        <v>94</v>
      </c>
      <c r="B15">
        <v>7.0000000000000007E-2</v>
      </c>
      <c r="C15">
        <v>219</v>
      </c>
      <c r="D15">
        <v>244</v>
      </c>
      <c r="E15">
        <v>269</v>
      </c>
      <c r="F15">
        <v>317</v>
      </c>
      <c r="G15">
        <v>330</v>
      </c>
      <c r="H15">
        <v>361</v>
      </c>
      <c r="I15">
        <v>367</v>
      </c>
      <c r="J15">
        <v>403</v>
      </c>
      <c r="L15" s="151">
        <f t="shared" ref="L15:S15" si="17">(C15-C13)/C13</f>
        <v>6.8292682926829273E-2</v>
      </c>
      <c r="M15" s="151">
        <f t="shared" si="17"/>
        <v>6.5502183406113537E-2</v>
      </c>
      <c r="N15" s="151">
        <f t="shared" si="17"/>
        <v>6.7460317460317457E-2</v>
      </c>
      <c r="O15" s="151">
        <f t="shared" si="17"/>
        <v>6.7340067340067339E-2</v>
      </c>
      <c r="P15" s="151">
        <f t="shared" si="17"/>
        <v>6.7961165048543687E-2</v>
      </c>
      <c r="Q15" s="151">
        <f t="shared" si="17"/>
        <v>6.8047337278106509E-2</v>
      </c>
      <c r="R15" s="151">
        <f t="shared" si="17"/>
        <v>6.6860465116279064E-2</v>
      </c>
      <c r="S15" s="151">
        <f t="shared" si="17"/>
        <v>6.6137566137566134E-2</v>
      </c>
    </row>
    <row r="16" spans="1:19">
      <c r="A16">
        <v>2005</v>
      </c>
      <c r="B16">
        <v>7.0000000000000007E-2</v>
      </c>
      <c r="C16">
        <v>236</v>
      </c>
      <c r="D16">
        <v>263</v>
      </c>
      <c r="E16">
        <v>289</v>
      </c>
      <c r="F16">
        <v>341</v>
      </c>
      <c r="G16">
        <v>355</v>
      </c>
      <c r="H16">
        <v>388</v>
      </c>
      <c r="I16">
        <v>395</v>
      </c>
      <c r="J16">
        <v>433</v>
      </c>
      <c r="L16" s="151">
        <f t="shared" si="15"/>
        <v>7.7625570776255703E-2</v>
      </c>
      <c r="M16" s="151">
        <f t="shared" si="8"/>
        <v>7.7868852459016397E-2</v>
      </c>
      <c r="N16" s="151">
        <f t="shared" si="9"/>
        <v>7.434944237918216E-2</v>
      </c>
      <c r="O16" s="151">
        <f t="shared" si="10"/>
        <v>7.5709779179810727E-2</v>
      </c>
      <c r="P16" s="151">
        <f t="shared" si="11"/>
        <v>7.575757575757576E-2</v>
      </c>
      <c r="Q16" s="151">
        <f t="shared" si="12"/>
        <v>7.4792243767313013E-2</v>
      </c>
      <c r="R16" s="151">
        <f t="shared" si="13"/>
        <v>7.6294277929155316E-2</v>
      </c>
      <c r="S16" s="151">
        <f t="shared" si="14"/>
        <v>7.4441687344913146E-2</v>
      </c>
    </row>
    <row r="17" spans="1:19">
      <c r="A17">
        <v>2006</v>
      </c>
      <c r="B17">
        <v>14.69</v>
      </c>
      <c r="C17">
        <v>267</v>
      </c>
      <c r="D17">
        <v>299</v>
      </c>
      <c r="E17">
        <v>330</v>
      </c>
      <c r="F17">
        <v>393</v>
      </c>
      <c r="G17">
        <v>407</v>
      </c>
      <c r="H17">
        <v>446</v>
      </c>
      <c r="I17">
        <v>455</v>
      </c>
      <c r="J17">
        <v>501</v>
      </c>
      <c r="L17" s="151">
        <f t="shared" si="15"/>
        <v>0.13135593220338984</v>
      </c>
      <c r="M17" s="151">
        <f t="shared" si="8"/>
        <v>0.13688212927756654</v>
      </c>
      <c r="N17" s="151">
        <f t="shared" si="9"/>
        <v>0.14186851211072665</v>
      </c>
      <c r="O17" s="151">
        <f t="shared" si="10"/>
        <v>0.15249266862170088</v>
      </c>
      <c r="P17" s="151">
        <f t="shared" si="11"/>
        <v>0.14647887323943662</v>
      </c>
      <c r="Q17" s="151">
        <f t="shared" si="12"/>
        <v>0.14948453608247422</v>
      </c>
      <c r="R17" s="151">
        <f t="shared" si="13"/>
        <v>0.15189873417721519</v>
      </c>
      <c r="S17" s="151">
        <f t="shared" si="14"/>
        <v>0.15704387990762125</v>
      </c>
    </row>
    <row r="18" spans="1:19">
      <c r="A18">
        <v>2007</v>
      </c>
      <c r="B18">
        <v>0.03</v>
      </c>
      <c r="C18">
        <v>275</v>
      </c>
      <c r="D18">
        <v>308</v>
      </c>
      <c r="E18">
        <v>339</v>
      </c>
      <c r="F18">
        <v>404</v>
      </c>
      <c r="G18">
        <v>419</v>
      </c>
      <c r="H18">
        <v>459</v>
      </c>
      <c r="I18">
        <v>468</v>
      </c>
      <c r="J18">
        <v>516</v>
      </c>
      <c r="L18" s="151">
        <f t="shared" si="15"/>
        <v>2.9962546816479401E-2</v>
      </c>
      <c r="M18" s="151">
        <f t="shared" si="8"/>
        <v>3.0100334448160536E-2</v>
      </c>
      <c r="N18" s="151">
        <f t="shared" si="9"/>
        <v>2.7272727272727271E-2</v>
      </c>
      <c r="O18" s="151">
        <f t="shared" si="10"/>
        <v>2.7989821882951654E-2</v>
      </c>
      <c r="P18" s="151">
        <f t="shared" si="11"/>
        <v>2.9484029484029485E-2</v>
      </c>
      <c r="Q18" s="151">
        <f t="shared" si="12"/>
        <v>2.914798206278027E-2</v>
      </c>
      <c r="R18" s="151">
        <f t="shared" si="13"/>
        <v>2.8571428571428571E-2</v>
      </c>
      <c r="S18" s="151">
        <f t="shared" si="14"/>
        <v>2.9940119760479042E-2</v>
      </c>
    </row>
    <row r="19" spans="1:19">
      <c r="A19">
        <v>2008</v>
      </c>
      <c r="B19">
        <v>0.02</v>
      </c>
      <c r="C19">
        <v>280</v>
      </c>
      <c r="D19">
        <v>314</v>
      </c>
      <c r="E19">
        <v>345</v>
      </c>
      <c r="F19">
        <v>412</v>
      </c>
      <c r="G19">
        <v>427</v>
      </c>
      <c r="H19">
        <v>468</v>
      </c>
      <c r="I19">
        <v>477</v>
      </c>
      <c r="J19">
        <v>526</v>
      </c>
      <c r="L19" s="151">
        <f t="shared" si="15"/>
        <v>1.8181818181818181E-2</v>
      </c>
      <c r="M19" s="151">
        <f t="shared" si="8"/>
        <v>1.948051948051948E-2</v>
      </c>
      <c r="N19" s="151">
        <f t="shared" si="9"/>
        <v>1.7699115044247787E-2</v>
      </c>
      <c r="O19" s="151">
        <f t="shared" si="10"/>
        <v>1.9801980198019802E-2</v>
      </c>
      <c r="P19" s="151">
        <f t="shared" si="11"/>
        <v>1.9093078758949882E-2</v>
      </c>
      <c r="Q19" s="151">
        <f t="shared" si="12"/>
        <v>1.9607843137254902E-2</v>
      </c>
      <c r="R19" s="151">
        <f t="shared" si="13"/>
        <v>1.9230769230769232E-2</v>
      </c>
      <c r="S19" s="151">
        <f t="shared" si="14"/>
        <v>1.937984496124031E-2</v>
      </c>
    </row>
    <row r="20" spans="1:19">
      <c r="A20" t="s">
        <v>93</v>
      </c>
      <c r="B20">
        <v>0.05</v>
      </c>
      <c r="C20">
        <v>293</v>
      </c>
      <c r="D20">
        <v>329</v>
      </c>
      <c r="E20">
        <v>361</v>
      </c>
      <c r="F20">
        <v>432</v>
      </c>
      <c r="G20">
        <v>447</v>
      </c>
      <c r="H20">
        <v>490</v>
      </c>
      <c r="I20">
        <v>500</v>
      </c>
      <c r="J20">
        <v>551</v>
      </c>
      <c r="L20" s="151">
        <f t="shared" si="15"/>
        <v>4.642857142857143E-2</v>
      </c>
      <c r="M20" s="151">
        <f t="shared" si="8"/>
        <v>4.7770700636942678E-2</v>
      </c>
      <c r="N20" s="151">
        <f t="shared" si="9"/>
        <v>4.6376811594202899E-2</v>
      </c>
      <c r="O20" s="151">
        <f t="shared" si="10"/>
        <v>4.8543689320388349E-2</v>
      </c>
      <c r="P20" s="151">
        <f t="shared" si="11"/>
        <v>4.6838407494145202E-2</v>
      </c>
      <c r="Q20" s="151">
        <f t="shared" si="12"/>
        <v>4.7008547008547008E-2</v>
      </c>
      <c r="R20" s="151">
        <f t="shared" si="13"/>
        <v>4.8218029350104823E-2</v>
      </c>
      <c r="S20" s="151">
        <f t="shared" si="14"/>
        <v>4.7528517110266157E-2</v>
      </c>
    </row>
    <row r="21" spans="1:19">
      <c r="A21" t="s">
        <v>92</v>
      </c>
      <c r="B21">
        <v>0.03</v>
      </c>
      <c r="C21">
        <v>302</v>
      </c>
      <c r="D21">
        <v>339</v>
      </c>
      <c r="E21">
        <v>373</v>
      </c>
      <c r="F21">
        <v>446</v>
      </c>
      <c r="G21">
        <v>460</v>
      </c>
      <c r="H21">
        <v>505</v>
      </c>
      <c r="I21">
        <v>516</v>
      </c>
      <c r="J21">
        <v>567</v>
      </c>
      <c r="L21" s="151">
        <f t="shared" si="15"/>
        <v>3.0716723549488054E-2</v>
      </c>
      <c r="M21" s="151">
        <f t="shared" si="8"/>
        <v>3.0395136778115502E-2</v>
      </c>
      <c r="N21" s="151">
        <f t="shared" si="9"/>
        <v>3.3240997229916899E-2</v>
      </c>
      <c r="O21" s="151">
        <f t="shared" si="10"/>
        <v>3.2407407407407406E-2</v>
      </c>
      <c r="P21" s="151">
        <f t="shared" si="11"/>
        <v>2.9082774049217001E-2</v>
      </c>
      <c r="Q21" s="151">
        <f t="shared" si="12"/>
        <v>3.0612244897959183E-2</v>
      </c>
      <c r="R21" s="151">
        <f t="shared" si="13"/>
        <v>3.2000000000000001E-2</v>
      </c>
      <c r="S21" s="151">
        <f t="shared" si="14"/>
        <v>2.9038112522686024E-2</v>
      </c>
    </row>
    <row r="22" spans="1:19">
      <c r="A22" t="s">
        <v>91</v>
      </c>
      <c r="B22">
        <v>0.05</v>
      </c>
      <c r="C22">
        <v>316</v>
      </c>
      <c r="D22">
        <v>355</v>
      </c>
      <c r="E22">
        <v>391</v>
      </c>
      <c r="F22">
        <v>467</v>
      </c>
      <c r="G22">
        <v>482</v>
      </c>
      <c r="H22">
        <v>529</v>
      </c>
      <c r="I22">
        <v>541</v>
      </c>
      <c r="J22">
        <v>594</v>
      </c>
      <c r="L22" s="151">
        <f t="shared" si="15"/>
        <v>4.6357615894039736E-2</v>
      </c>
      <c r="M22" s="151">
        <f t="shared" si="8"/>
        <v>4.71976401179941E-2</v>
      </c>
      <c r="N22" s="151">
        <f t="shared" si="9"/>
        <v>4.8257372654155493E-2</v>
      </c>
      <c r="O22" s="151">
        <f t="shared" si="10"/>
        <v>4.708520179372197E-2</v>
      </c>
      <c r="P22" s="151">
        <f t="shared" si="11"/>
        <v>4.7826086956521741E-2</v>
      </c>
      <c r="Q22" s="151">
        <f t="shared" si="12"/>
        <v>4.7524752475247525E-2</v>
      </c>
      <c r="R22" s="151">
        <f t="shared" si="13"/>
        <v>4.8449612403100778E-2</v>
      </c>
      <c r="S22" s="151">
        <f t="shared" si="14"/>
        <v>4.7619047619047616E-2</v>
      </c>
    </row>
    <row r="23" spans="1:19">
      <c r="A23">
        <v>2017</v>
      </c>
      <c r="B23">
        <v>-0.03</v>
      </c>
      <c r="C23">
        <v>306</v>
      </c>
      <c r="D23">
        <v>343</v>
      </c>
      <c r="E23">
        <v>378</v>
      </c>
      <c r="F23">
        <v>451</v>
      </c>
      <c r="G23">
        <v>466</v>
      </c>
      <c r="H23">
        <v>511</v>
      </c>
      <c r="I23">
        <v>523</v>
      </c>
      <c r="J23">
        <v>574</v>
      </c>
      <c r="L23" s="151">
        <f t="shared" si="15"/>
        <v>-3.1645569620253167E-2</v>
      </c>
      <c r="M23" s="151">
        <f t="shared" si="8"/>
        <v>-3.3802816901408447E-2</v>
      </c>
      <c r="N23" s="151">
        <f t="shared" si="9"/>
        <v>-3.3248081841432228E-2</v>
      </c>
      <c r="O23" s="151">
        <f t="shared" si="10"/>
        <v>-3.4261241970021415E-2</v>
      </c>
      <c r="P23" s="151">
        <f t="shared" si="11"/>
        <v>-3.3195020746887967E-2</v>
      </c>
      <c r="Q23" s="151">
        <f t="shared" si="12"/>
        <v>-3.4026465028355386E-2</v>
      </c>
      <c r="R23" s="151">
        <f t="shared" si="13"/>
        <v>-3.3271719038817003E-2</v>
      </c>
      <c r="S23" s="151">
        <f t="shared" si="14"/>
        <v>-3.3670033670033669E-2</v>
      </c>
    </row>
    <row r="24" spans="1:19">
      <c r="A24">
        <v>2018</v>
      </c>
      <c r="B24">
        <v>-0.02</v>
      </c>
      <c r="C24">
        <v>300</v>
      </c>
      <c r="D24">
        <v>337</v>
      </c>
      <c r="E24">
        <v>371</v>
      </c>
      <c r="F24">
        <v>442</v>
      </c>
      <c r="G24">
        <v>457</v>
      </c>
      <c r="H24">
        <v>501</v>
      </c>
      <c r="I24">
        <v>513</v>
      </c>
      <c r="J24">
        <v>563</v>
      </c>
      <c r="L24" s="151">
        <f t="shared" si="15"/>
        <v>-1.9607843137254902E-2</v>
      </c>
      <c r="M24" s="151">
        <f t="shared" si="8"/>
        <v>-1.7492711370262391E-2</v>
      </c>
      <c r="N24" s="151">
        <f t="shared" si="9"/>
        <v>-1.8518518518518517E-2</v>
      </c>
      <c r="O24" s="151">
        <f t="shared" si="10"/>
        <v>-1.9955654101995565E-2</v>
      </c>
      <c r="P24" s="151">
        <f t="shared" si="11"/>
        <v>-1.9313304721030045E-2</v>
      </c>
      <c r="Q24" s="151">
        <f t="shared" si="12"/>
        <v>-1.9569471624266144E-2</v>
      </c>
      <c r="R24" s="151">
        <f t="shared" si="13"/>
        <v>-1.9120458891013385E-2</v>
      </c>
      <c r="S24" s="151">
        <f t="shared" si="14"/>
        <v>-1.9163763066202089E-2</v>
      </c>
    </row>
    <row r="27" spans="1:19">
      <c r="C27">
        <v>7.1999999999999995E-2</v>
      </c>
      <c r="D27">
        <v>6.5000000000000002E-2</v>
      </c>
      <c r="E27">
        <v>6.3E-2</v>
      </c>
      <c r="F27">
        <v>6.2E-2</v>
      </c>
      <c r="G27">
        <v>6.4000000000000001E-2</v>
      </c>
      <c r="H27">
        <v>6.2E-2</v>
      </c>
      <c r="I27">
        <v>6.0999999999999999E-2</v>
      </c>
    </row>
    <row r="28" spans="1:19">
      <c r="C28" t="s">
        <v>33</v>
      </c>
      <c r="D28">
        <v>0.02</v>
      </c>
      <c r="E28">
        <v>2.3E-2</v>
      </c>
      <c r="F28">
        <v>2.3E-2</v>
      </c>
      <c r="G28">
        <v>2.1999999999999999E-2</v>
      </c>
      <c r="H28">
        <v>2.1000000000000001E-2</v>
      </c>
      <c r="I28">
        <v>2.4E-2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showGridLines="0" topLeftCell="A16" workbookViewId="0">
      <selection activeCell="E34" sqref="E34"/>
    </sheetView>
  </sheetViews>
  <sheetFormatPr defaultRowHeight="15.75"/>
  <cols>
    <col min="1" max="1" width="16.28515625" style="20" customWidth="1"/>
    <col min="2" max="2" width="12.28515625" style="17" customWidth="1"/>
    <col min="3" max="3" width="9.140625" style="17"/>
    <col min="4" max="4" width="11.7109375" style="17" customWidth="1"/>
    <col min="5" max="5" width="12.5703125" style="17" customWidth="1"/>
    <col min="6" max="6" width="11" style="17" customWidth="1"/>
    <col min="7" max="7" width="9.140625" style="17"/>
    <col min="8" max="8" width="10.42578125" style="17" customWidth="1"/>
    <col min="9" max="9" width="7" style="17" customWidth="1"/>
    <col min="10" max="10" width="7.7109375" style="17" customWidth="1"/>
    <col min="11" max="11" width="2.140625" style="17" customWidth="1"/>
    <col min="12" max="12" width="5.28515625" style="17" customWidth="1"/>
    <col min="13" max="13" width="12.140625" style="17" customWidth="1"/>
    <col min="14" max="16384" width="9.140625" style="17"/>
  </cols>
  <sheetData>
    <row r="1" spans="1:8" ht="26.25">
      <c r="A1" s="62" t="s">
        <v>68</v>
      </c>
    </row>
    <row r="2" spans="1:8" ht="26.25">
      <c r="A2" s="62" t="s">
        <v>69</v>
      </c>
    </row>
    <row r="4" spans="1:8">
      <c r="A4" s="24" t="s">
        <v>66</v>
      </c>
      <c r="B4" s="13"/>
      <c r="C4" s="11"/>
      <c r="D4" s="12"/>
      <c r="E4" s="10" t="s">
        <v>36</v>
      </c>
      <c r="F4" s="11" t="s">
        <v>46</v>
      </c>
      <c r="G4"/>
      <c r="H4"/>
    </row>
    <row r="5" spans="1:8">
      <c r="A5" s="24" t="s">
        <v>60</v>
      </c>
      <c r="B5" s="10"/>
      <c r="C5" s="10" t="s">
        <v>12</v>
      </c>
      <c r="D5" s="10"/>
      <c r="E5" s="11" t="s">
        <v>35</v>
      </c>
      <c r="F5" s="11" t="s">
        <v>47</v>
      </c>
      <c r="G5"/>
      <c r="H5"/>
    </row>
    <row r="6" spans="1:8">
      <c r="A6" s="44">
        <v>1629408</v>
      </c>
      <c r="B6" s="10"/>
      <c r="C6" s="10" t="s">
        <v>1</v>
      </c>
      <c r="D6" s="23"/>
      <c r="E6" s="11" t="s">
        <v>14</v>
      </c>
      <c r="F6" s="57" t="s">
        <v>67</v>
      </c>
      <c r="G6"/>
      <c r="H6"/>
    </row>
    <row r="7" spans="1:8">
      <c r="A7" s="44"/>
      <c r="B7" s="26" t="s">
        <v>13</v>
      </c>
      <c r="C7" s="26" t="s">
        <v>2</v>
      </c>
      <c r="D7" s="10" t="s">
        <v>16</v>
      </c>
      <c r="E7" s="11" t="s">
        <v>32</v>
      </c>
      <c r="F7" s="11">
        <v>1992</v>
      </c>
      <c r="G7" s="10" t="s">
        <v>15</v>
      </c>
      <c r="H7" s="10" t="s">
        <v>35</v>
      </c>
    </row>
    <row r="8" spans="1:8">
      <c r="A8" s="24" t="s">
        <v>61</v>
      </c>
      <c r="B8" s="27" t="s">
        <v>17</v>
      </c>
      <c r="C8" s="14">
        <v>5</v>
      </c>
      <c r="D8" s="28">
        <v>1.23E-3</v>
      </c>
      <c r="E8" s="34">
        <f>D8*$A$19</f>
        <v>167.01432</v>
      </c>
      <c r="F8" s="33">
        <v>171</v>
      </c>
      <c r="G8" s="45">
        <f>C8*F8*12</f>
        <v>10260</v>
      </c>
      <c r="H8" s="40">
        <f t="shared" ref="H8:H15" si="0">F8/($G$16/12)</f>
        <v>1.2317266863310751E-3</v>
      </c>
    </row>
    <row r="9" spans="1:8">
      <c r="A9" s="44">
        <v>98100</v>
      </c>
      <c r="B9" s="31" t="s">
        <v>18</v>
      </c>
      <c r="C9" s="14">
        <v>5</v>
      </c>
      <c r="D9" s="28">
        <v>1.3699999999999999E-3</v>
      </c>
      <c r="E9" s="34">
        <f t="shared" ref="E9:E15" si="1">D9*$A$19</f>
        <v>186.02408</v>
      </c>
      <c r="F9" s="33">
        <v>190</v>
      </c>
      <c r="G9" s="45">
        <f t="shared" ref="G9:G15" si="2">C9*F9*12</f>
        <v>11400</v>
      </c>
      <c r="H9" s="40">
        <f t="shared" si="0"/>
        <v>1.368585207034528E-3</v>
      </c>
    </row>
    <row r="10" spans="1:8">
      <c r="B10" s="27" t="s">
        <v>19</v>
      </c>
      <c r="C10" s="14">
        <v>131</v>
      </c>
      <c r="D10" s="28">
        <v>1.5100000000000001E-3</v>
      </c>
      <c r="E10" s="34">
        <f t="shared" si="1"/>
        <v>205.03384</v>
      </c>
      <c r="F10" s="33">
        <v>209.5</v>
      </c>
      <c r="G10" s="45">
        <f t="shared" si="2"/>
        <v>329334</v>
      </c>
      <c r="H10" s="40">
        <f t="shared" si="0"/>
        <v>1.5090452677564926E-3</v>
      </c>
    </row>
    <row r="11" spans="1:8">
      <c r="A11" s="24" t="s">
        <v>62</v>
      </c>
      <c r="B11" s="27" t="s">
        <v>20</v>
      </c>
      <c r="C11" s="14">
        <v>13</v>
      </c>
      <c r="D11" s="28">
        <v>1.7799999999999999E-3</v>
      </c>
      <c r="E11" s="34">
        <f t="shared" si="1"/>
        <v>241.69551999999999</v>
      </c>
      <c r="F11" s="33">
        <v>247</v>
      </c>
      <c r="G11" s="45">
        <f t="shared" si="2"/>
        <v>38532</v>
      </c>
      <c r="H11" s="40">
        <f t="shared" si="0"/>
        <v>1.7791607691448864E-3</v>
      </c>
    </row>
    <row r="12" spans="1:8">
      <c r="A12" s="24" t="s">
        <v>63</v>
      </c>
      <c r="B12" s="27" t="s">
        <v>21</v>
      </c>
      <c r="C12" s="14">
        <v>206</v>
      </c>
      <c r="D12" s="28">
        <v>1.8500000000000001E-3</v>
      </c>
      <c r="E12" s="34">
        <f t="shared" si="1"/>
        <v>251.2004</v>
      </c>
      <c r="F12" s="33">
        <v>257</v>
      </c>
      <c r="G12" s="45">
        <f t="shared" si="2"/>
        <v>635304</v>
      </c>
      <c r="H12" s="40">
        <f t="shared" si="0"/>
        <v>1.8511915695151246E-3</v>
      </c>
    </row>
    <row r="13" spans="1:8">
      <c r="A13" s="24" t="s">
        <v>61</v>
      </c>
      <c r="B13" s="27" t="s">
        <v>22</v>
      </c>
      <c r="C13" s="14">
        <v>11</v>
      </c>
      <c r="D13" s="28">
        <v>2.0200000000000001E-3</v>
      </c>
      <c r="E13" s="34">
        <f t="shared" si="1"/>
        <v>274.28368</v>
      </c>
      <c r="F13" s="33">
        <v>280.5</v>
      </c>
      <c r="G13" s="45">
        <f t="shared" si="2"/>
        <v>37026</v>
      </c>
      <c r="H13" s="40">
        <f t="shared" si="0"/>
        <v>2.0204639503851847E-3</v>
      </c>
    </row>
    <row r="14" spans="1:8">
      <c r="A14" s="44">
        <f>A6-A9</f>
        <v>1531308</v>
      </c>
      <c r="B14" s="27" t="s">
        <v>23</v>
      </c>
      <c r="C14" s="14">
        <v>153</v>
      </c>
      <c r="D14" s="28">
        <v>2.0600000000000002E-3</v>
      </c>
      <c r="E14" s="34">
        <f t="shared" si="1"/>
        <v>279.71504000000004</v>
      </c>
      <c r="F14" s="33">
        <v>286</v>
      </c>
      <c r="G14" s="45">
        <f t="shared" si="2"/>
        <v>525096</v>
      </c>
      <c r="H14" s="40">
        <f t="shared" si="0"/>
        <v>2.060080890588816E-3</v>
      </c>
    </row>
    <row r="15" spans="1:8">
      <c r="A15" s="44"/>
      <c r="B15" s="27" t="s">
        <v>24</v>
      </c>
      <c r="C15" s="14">
        <v>21</v>
      </c>
      <c r="D15" s="28">
        <v>2.2599999999999999E-3</v>
      </c>
      <c r="E15" s="34">
        <f t="shared" si="1"/>
        <v>306.87183999999996</v>
      </c>
      <c r="F15" s="33">
        <v>313.5</v>
      </c>
      <c r="G15" s="56">
        <f t="shared" si="2"/>
        <v>79002</v>
      </c>
      <c r="H15" s="40">
        <f t="shared" si="0"/>
        <v>2.2581655916069712E-3</v>
      </c>
    </row>
    <row r="16" spans="1:8">
      <c r="A16" s="24" t="s">
        <v>31</v>
      </c>
      <c r="B16" s="79"/>
      <c r="C16" s="80"/>
      <c r="D16" s="12"/>
      <c r="E16" s="18"/>
      <c r="F16" s="18"/>
      <c r="G16" s="45">
        <f>SUM(G8:G15)</f>
        <v>1665954</v>
      </c>
      <c r="H16" s="45"/>
    </row>
    <row r="17" spans="1:8">
      <c r="A17" s="24" t="s">
        <v>64</v>
      </c>
      <c r="B17" s="13"/>
      <c r="C17" s="16"/>
      <c r="D17" s="12"/>
      <c r="E17" s="18"/>
      <c r="F17" s="18" t="s">
        <v>63</v>
      </c>
      <c r="G17" s="56">
        <f>$A$6</f>
        <v>1629408</v>
      </c>
      <c r="H17" s="45"/>
    </row>
    <row r="18" spans="1:8">
      <c r="A18" s="24" t="s">
        <v>61</v>
      </c>
      <c r="B18" s="13"/>
      <c r="C18" s="16"/>
      <c r="D18" s="12"/>
      <c r="E18" s="18"/>
      <c r="F18" s="18"/>
      <c r="G18" s="45">
        <f>G16-G17</f>
        <v>36546</v>
      </c>
      <c r="H18" s="45"/>
    </row>
    <row r="19" spans="1:8">
      <c r="A19" s="44">
        <f>A6/12</f>
        <v>135784</v>
      </c>
    </row>
    <row r="20" spans="1:8">
      <c r="A20" s="44"/>
    </row>
    <row r="21" spans="1:8">
      <c r="A21" s="24" t="s">
        <v>31</v>
      </c>
    </row>
    <row r="22" spans="1:8">
      <c r="A22" s="24" t="s">
        <v>65</v>
      </c>
    </row>
    <row r="23" spans="1:8">
      <c r="A23" s="24" t="s">
        <v>61</v>
      </c>
    </row>
    <row r="24" spans="1:8">
      <c r="A24" s="44">
        <f>A14/12</f>
        <v>127609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showGridLines="0" topLeftCell="A16" workbookViewId="0">
      <selection activeCell="O8" sqref="O8"/>
    </sheetView>
  </sheetViews>
  <sheetFormatPr defaultRowHeight="15.75"/>
  <cols>
    <col min="1" max="1" width="12.140625" style="17" bestFit="1" customWidth="1"/>
    <col min="2" max="2" width="14.85546875" customWidth="1"/>
    <col min="3" max="3" width="9.140625" customWidth="1"/>
    <col min="4" max="4" width="11.7109375" bestFit="1" customWidth="1"/>
    <col min="5" max="5" width="6" bestFit="1" customWidth="1"/>
    <col min="6" max="6" width="11.140625" bestFit="1" customWidth="1"/>
    <col min="7" max="7" width="11.85546875" bestFit="1" customWidth="1"/>
    <col min="8" max="8" width="10.140625" bestFit="1" customWidth="1"/>
    <col min="9" max="9" width="11.42578125" customWidth="1"/>
    <col min="10" max="10" width="10.140625" bestFit="1" customWidth="1"/>
    <col min="11" max="11" width="4.42578125" bestFit="1" customWidth="1"/>
    <col min="12" max="12" width="6.85546875" bestFit="1" customWidth="1"/>
    <col min="14" max="14" width="5.28515625" bestFit="1" customWidth="1"/>
    <col min="15" max="15" width="7.7109375" bestFit="1" customWidth="1"/>
  </cols>
  <sheetData>
    <row r="1" spans="1:10">
      <c r="B1" s="20"/>
      <c r="C1" s="20"/>
      <c r="D1" s="17"/>
      <c r="E1" s="17"/>
      <c r="F1" s="17"/>
      <c r="G1" s="17"/>
      <c r="H1" s="17"/>
      <c r="I1" s="17"/>
      <c r="J1" s="17"/>
    </row>
    <row r="2" spans="1:10">
      <c r="B2" s="20"/>
      <c r="C2" s="20"/>
      <c r="D2" s="17"/>
      <c r="E2" s="17"/>
      <c r="F2" s="17"/>
      <c r="G2" s="17"/>
      <c r="H2" s="17"/>
      <c r="I2" s="17"/>
      <c r="J2" s="17"/>
    </row>
    <row r="4" spans="1:10">
      <c r="A4" s="24">
        <v>1988</v>
      </c>
      <c r="B4" s="24" t="s">
        <v>102</v>
      </c>
      <c r="D4" s="13"/>
      <c r="E4" s="11"/>
      <c r="F4" s="12"/>
      <c r="G4" s="10" t="s">
        <v>36</v>
      </c>
    </row>
    <row r="5" spans="1:10">
      <c r="A5" s="58" t="s">
        <v>66</v>
      </c>
      <c r="B5" s="58" t="s">
        <v>66</v>
      </c>
      <c r="C5" s="24" t="s">
        <v>83</v>
      </c>
      <c r="D5" s="10"/>
      <c r="E5" s="10" t="s">
        <v>12</v>
      </c>
      <c r="F5" s="10"/>
      <c r="G5" s="11" t="s">
        <v>35</v>
      </c>
      <c r="H5" s="11" t="s">
        <v>46</v>
      </c>
    </row>
    <row r="6" spans="1:10">
      <c r="A6" s="24" t="s">
        <v>60</v>
      </c>
      <c r="B6" s="24" t="s">
        <v>60</v>
      </c>
      <c r="C6" s="24" t="s">
        <v>84</v>
      </c>
      <c r="D6" s="10"/>
      <c r="E6" s="10" t="s">
        <v>1</v>
      </c>
      <c r="F6" s="23"/>
      <c r="G6" s="11" t="s">
        <v>14</v>
      </c>
      <c r="H6" s="11" t="s">
        <v>47</v>
      </c>
    </row>
    <row r="7" spans="1:10">
      <c r="A7" s="44">
        <v>1557384</v>
      </c>
      <c r="B7" s="44">
        <v>1608180</v>
      </c>
      <c r="C7" s="73">
        <f>(B7-'94'!A7)/'94'!A7</f>
        <v>3.2616233375968931E-2</v>
      </c>
      <c r="D7" s="26" t="s">
        <v>13</v>
      </c>
      <c r="E7" s="26" t="s">
        <v>2</v>
      </c>
      <c r="F7" s="10" t="s">
        <v>16</v>
      </c>
      <c r="G7" s="11" t="s">
        <v>32</v>
      </c>
      <c r="H7" s="57" t="s">
        <v>71</v>
      </c>
      <c r="I7" s="10" t="s">
        <v>15</v>
      </c>
      <c r="J7" s="10" t="s">
        <v>35</v>
      </c>
    </row>
    <row r="8" spans="1:10">
      <c r="A8" s="44"/>
      <c r="B8" s="44"/>
      <c r="C8" s="44"/>
      <c r="D8" s="27" t="s">
        <v>17</v>
      </c>
      <c r="E8" s="14">
        <v>5</v>
      </c>
      <c r="F8" s="28">
        <v>1.23E-3</v>
      </c>
      <c r="G8" s="34">
        <f>F8*$B$20</f>
        <v>164.83844999999999</v>
      </c>
      <c r="H8" s="33">
        <v>165</v>
      </c>
      <c r="I8" s="45">
        <f>E8*H8*12</f>
        <v>9900</v>
      </c>
      <c r="J8" s="40">
        <f>H8/($B$20)</f>
        <v>1.2312054620751409E-3</v>
      </c>
    </row>
    <row r="9" spans="1:10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34">
        <f t="shared" ref="G9:G15" si="0">F9*$B$20</f>
        <v>183.60055</v>
      </c>
      <c r="H9" s="33">
        <v>183.5</v>
      </c>
      <c r="I9" s="45">
        <f t="shared" ref="I9:I15" si="1">E9*H9*12</f>
        <v>11010</v>
      </c>
      <c r="J9" s="40">
        <f t="shared" ref="J9:J15" si="2">H9/($B$20)</f>
        <v>1.3692497108532627E-3</v>
      </c>
    </row>
    <row r="10" spans="1:10">
      <c r="A10" s="44">
        <v>98100</v>
      </c>
      <c r="B10" s="44">
        <v>98100</v>
      </c>
      <c r="C10" s="44"/>
      <c r="D10" s="27" t="s">
        <v>19</v>
      </c>
      <c r="E10" s="14">
        <v>131</v>
      </c>
      <c r="F10" s="28">
        <v>1.5100000000000001E-3</v>
      </c>
      <c r="G10" s="34">
        <f t="shared" si="0"/>
        <v>202.36265</v>
      </c>
      <c r="H10" s="33">
        <v>202.5</v>
      </c>
      <c r="I10" s="45">
        <f t="shared" si="1"/>
        <v>318330</v>
      </c>
      <c r="J10" s="40">
        <f t="shared" si="2"/>
        <v>1.5110248852740365E-3</v>
      </c>
    </row>
    <row r="11" spans="1:10">
      <c r="B11" s="17"/>
      <c r="C11" s="20"/>
      <c r="D11" s="27" t="s">
        <v>20</v>
      </c>
      <c r="E11" s="14">
        <v>13</v>
      </c>
      <c r="F11" s="28">
        <v>1.7799999999999999E-3</v>
      </c>
      <c r="G11" s="34">
        <f t="shared" si="0"/>
        <v>238.54669999999999</v>
      </c>
      <c r="H11" s="33">
        <v>238.5</v>
      </c>
      <c r="I11" s="45">
        <f t="shared" si="1"/>
        <v>37206</v>
      </c>
      <c r="J11" s="40">
        <f t="shared" si="2"/>
        <v>1.7796515315449764E-3</v>
      </c>
    </row>
    <row r="12" spans="1:10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34">
        <f t="shared" si="0"/>
        <v>247.92775</v>
      </c>
      <c r="H12" s="33">
        <v>248</v>
      </c>
      <c r="I12" s="45">
        <f t="shared" si="1"/>
        <v>613056</v>
      </c>
      <c r="J12" s="40">
        <f t="shared" si="2"/>
        <v>1.8505391187553632E-3</v>
      </c>
    </row>
    <row r="13" spans="1:10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34">
        <f t="shared" si="0"/>
        <v>270.71030000000002</v>
      </c>
      <c r="H13" s="33">
        <v>270.5</v>
      </c>
      <c r="I13" s="45">
        <f t="shared" si="1"/>
        <v>35706</v>
      </c>
      <c r="J13" s="40">
        <f t="shared" si="2"/>
        <v>2.0184307726747006E-3</v>
      </c>
    </row>
    <row r="14" spans="1:10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34">
        <f t="shared" si="0"/>
        <v>276.07090000000005</v>
      </c>
      <c r="H14" s="33">
        <v>276</v>
      </c>
      <c r="I14" s="45">
        <f t="shared" si="1"/>
        <v>506736</v>
      </c>
      <c r="J14" s="40">
        <f t="shared" si="2"/>
        <v>2.0594709547438719E-3</v>
      </c>
    </row>
    <row r="15" spans="1:10">
      <c r="A15" s="44">
        <f>A7-A10</f>
        <v>1459284</v>
      </c>
      <c r="B15" s="44">
        <f>B7-B10</f>
        <v>1510080</v>
      </c>
      <c r="C15" s="73">
        <f>(B15-'94'!A15)/'94'!A15</f>
        <v>3.4808851464142691E-2</v>
      </c>
      <c r="D15" s="27" t="s">
        <v>24</v>
      </c>
      <c r="E15" s="14">
        <v>21</v>
      </c>
      <c r="F15" s="28">
        <v>2.2599999999999999E-3</v>
      </c>
      <c r="G15" s="34">
        <f t="shared" si="0"/>
        <v>302.87389999999999</v>
      </c>
      <c r="H15" s="33">
        <v>302.5</v>
      </c>
      <c r="I15" s="56">
        <f t="shared" si="1"/>
        <v>76230</v>
      </c>
      <c r="J15" s="40">
        <f t="shared" si="2"/>
        <v>2.257210013804425E-3</v>
      </c>
    </row>
    <row r="16" spans="1:10">
      <c r="A16" s="44"/>
      <c r="B16" s="44"/>
      <c r="C16" s="44"/>
      <c r="D16" s="79"/>
      <c r="E16" s="80"/>
      <c r="F16" s="12"/>
      <c r="G16" s="18"/>
      <c r="H16" s="18"/>
      <c r="I16" s="45">
        <f>SUM(I8:I15)</f>
        <v>1608174</v>
      </c>
      <c r="J16" s="45"/>
    </row>
    <row r="17" spans="1:10">
      <c r="A17" s="24" t="s">
        <v>31</v>
      </c>
      <c r="B17" s="24" t="s">
        <v>31</v>
      </c>
      <c r="C17" s="24"/>
      <c r="D17" s="13"/>
      <c r="E17" s="16"/>
      <c r="F17" s="12"/>
      <c r="G17" s="18"/>
      <c r="H17" s="18" t="s">
        <v>63</v>
      </c>
      <c r="I17" s="56">
        <v>1608180</v>
      </c>
      <c r="J17" s="45"/>
    </row>
    <row r="18" spans="1:10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45">
        <f>I16-I17</f>
        <v>-6</v>
      </c>
      <c r="J18" s="45"/>
    </row>
    <row r="19" spans="1:10">
      <c r="A19" s="24" t="s">
        <v>61</v>
      </c>
      <c r="B19" s="24" t="s">
        <v>61</v>
      </c>
      <c r="C19" s="24"/>
    </row>
    <row r="20" spans="1:10">
      <c r="A20" s="44">
        <f>A7/12</f>
        <v>129782</v>
      </c>
      <c r="B20" s="44">
        <f>B7/12</f>
        <v>134015</v>
      </c>
      <c r="C20" s="73">
        <f>(B20-'94'!A20)/'94'!A20</f>
        <v>3.2616233375968931E-2</v>
      </c>
    </row>
    <row r="21" spans="1:10">
      <c r="A21" s="44"/>
      <c r="B21" s="44"/>
      <c r="C21" s="44"/>
    </row>
    <row r="22" spans="1:10">
      <c r="A22" s="24" t="s">
        <v>31</v>
      </c>
      <c r="B22" s="24" t="s">
        <v>31</v>
      </c>
      <c r="C22" s="24"/>
    </row>
    <row r="23" spans="1:10">
      <c r="A23" s="24" t="s">
        <v>65</v>
      </c>
      <c r="B23" s="24" t="s">
        <v>65</v>
      </c>
      <c r="C23" s="24"/>
    </row>
    <row r="24" spans="1:10">
      <c r="A24" s="24" t="s">
        <v>61</v>
      </c>
      <c r="B24" s="24" t="s">
        <v>61</v>
      </c>
      <c r="C24" s="24"/>
    </row>
    <row r="25" spans="1:10">
      <c r="A25" s="44">
        <f>A15/12</f>
        <v>121607</v>
      </c>
      <c r="B25" s="44">
        <f>B15/12</f>
        <v>125840</v>
      </c>
      <c r="C25" s="73">
        <f>(B25-'94'!A25)/'94'!A25</f>
        <v>3.4808851464142691E-2</v>
      </c>
    </row>
    <row r="26" spans="1:10">
      <c r="C26" s="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6"/>
  <sheetViews>
    <sheetView showGridLines="0" topLeftCell="A10" workbookViewId="0">
      <selection activeCell="J8" sqref="J8"/>
    </sheetView>
  </sheetViews>
  <sheetFormatPr defaultRowHeight="15"/>
  <cols>
    <col min="1" max="1" width="12.140625" bestFit="1" customWidth="1"/>
    <col min="2" max="2" width="13.5703125" customWidth="1"/>
    <col min="3" max="3" width="8.7109375" customWidth="1"/>
    <col min="4" max="4" width="11.7109375" bestFit="1" customWidth="1"/>
    <col min="5" max="5" width="6" bestFit="1" customWidth="1"/>
    <col min="6" max="6" width="11.140625" bestFit="1" customWidth="1"/>
    <col min="7" max="7" width="11.85546875" bestFit="1" customWidth="1"/>
    <col min="8" max="8" width="10.140625" bestFit="1" customWidth="1"/>
    <col min="9" max="9" width="10.140625" customWidth="1"/>
    <col min="10" max="10" width="10.140625" bestFit="1" customWidth="1"/>
    <col min="11" max="11" width="8.85546875" customWidth="1"/>
    <col min="12" max="12" width="4.42578125" bestFit="1" customWidth="1"/>
    <col min="13" max="13" width="6.85546875" bestFit="1" customWidth="1"/>
    <col min="15" max="15" width="5.28515625" bestFit="1" customWidth="1"/>
    <col min="16" max="16" width="7.7109375" bestFit="1" customWidth="1"/>
  </cols>
  <sheetData>
    <row r="1" spans="1:16" ht="26.25">
      <c r="A1" s="1" t="s">
        <v>127</v>
      </c>
      <c r="B1" s="20"/>
      <c r="C1" s="2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0" t="s">
        <v>27</v>
      </c>
      <c r="P1" s="17"/>
    </row>
    <row r="2" spans="1:16" ht="15.75">
      <c r="B2" s="20"/>
      <c r="C2" s="20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0"/>
      <c r="P2" s="17"/>
    </row>
    <row r="3" spans="1:16" ht="15.75">
      <c r="C3" s="20"/>
      <c r="D3" s="13"/>
      <c r="E3" s="11"/>
      <c r="F3" s="12"/>
      <c r="G3" s="12"/>
      <c r="H3" s="12"/>
      <c r="I3" s="12"/>
      <c r="J3" s="12"/>
      <c r="K3" s="12"/>
      <c r="L3" s="11"/>
      <c r="M3" s="11"/>
      <c r="N3" s="11"/>
      <c r="O3" s="25"/>
      <c r="P3" s="17"/>
    </row>
    <row r="4" spans="1:16" ht="15.75">
      <c r="A4" s="24">
        <v>1988</v>
      </c>
      <c r="B4" s="24">
        <v>1994</v>
      </c>
      <c r="D4" s="13"/>
      <c r="E4" s="11"/>
      <c r="F4" s="12"/>
      <c r="G4" s="10" t="s">
        <v>36</v>
      </c>
      <c r="H4" s="11" t="s">
        <v>46</v>
      </c>
      <c r="K4" s="12"/>
      <c r="L4" s="23"/>
      <c r="M4" s="11"/>
      <c r="N4" s="11"/>
      <c r="O4" s="25"/>
      <c r="P4" s="20"/>
    </row>
    <row r="5" spans="1:16" ht="15.75">
      <c r="A5" s="58" t="s">
        <v>66</v>
      </c>
      <c r="B5" s="24" t="s">
        <v>66</v>
      </c>
      <c r="C5" s="24" t="s">
        <v>83</v>
      </c>
      <c r="D5" s="10"/>
      <c r="E5" s="10" t="s">
        <v>12</v>
      </c>
      <c r="F5" s="10"/>
      <c r="G5" s="11" t="s">
        <v>35</v>
      </c>
      <c r="H5" s="11" t="s">
        <v>47</v>
      </c>
      <c r="K5" s="12"/>
      <c r="L5" s="23"/>
      <c r="M5" s="11"/>
      <c r="N5" s="11"/>
      <c r="O5" s="25"/>
      <c r="P5" s="10"/>
    </row>
    <row r="6" spans="1:16" ht="15.75">
      <c r="A6" s="24" t="s">
        <v>60</v>
      </c>
      <c r="B6" s="24" t="s">
        <v>60</v>
      </c>
      <c r="C6" s="24" t="s">
        <v>84</v>
      </c>
      <c r="D6" s="10"/>
      <c r="E6" s="10" t="s">
        <v>1</v>
      </c>
      <c r="F6" s="23"/>
      <c r="G6" s="11" t="s">
        <v>14</v>
      </c>
      <c r="H6" s="57" t="s">
        <v>67</v>
      </c>
      <c r="K6" s="10"/>
      <c r="L6" s="23"/>
      <c r="M6" s="11"/>
      <c r="N6" s="11"/>
      <c r="O6" s="25"/>
      <c r="P6" s="10"/>
    </row>
    <row r="7" spans="1:16" ht="15.75">
      <c r="A7" s="44">
        <v>1557384</v>
      </c>
      <c r="B7" s="44">
        <v>1629408</v>
      </c>
      <c r="C7" s="73">
        <f>(B7-'94'!A7)/'94'!A7</f>
        <v>4.6246783066989261E-2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1994</v>
      </c>
      <c r="I7" s="10" t="s">
        <v>15</v>
      </c>
      <c r="J7" s="10" t="s">
        <v>35</v>
      </c>
      <c r="K7" s="10"/>
      <c r="L7" s="23"/>
      <c r="M7" s="11"/>
      <c r="N7" s="11"/>
      <c r="O7" s="25"/>
      <c r="P7" s="10"/>
    </row>
    <row r="8" spans="1:16" ht="15.75">
      <c r="A8" s="44"/>
      <c r="B8" s="44"/>
      <c r="C8" s="44"/>
      <c r="D8" s="27" t="s">
        <v>17</v>
      </c>
      <c r="E8" s="14">
        <v>5</v>
      </c>
      <c r="F8" s="28">
        <v>1.23E-3</v>
      </c>
      <c r="G8" s="34">
        <f t="shared" ref="G8:G15" si="0">F8*$B$20</f>
        <v>167.01432</v>
      </c>
      <c r="H8" s="33">
        <v>167</v>
      </c>
      <c r="I8" s="45">
        <f>E8*H8*12</f>
        <v>10020</v>
      </c>
      <c r="J8" s="40">
        <f>H8/($B$20)</f>
        <v>1.2298945383844931E-3</v>
      </c>
      <c r="K8" s="23"/>
      <c r="L8" s="23"/>
      <c r="M8" s="11"/>
      <c r="N8" s="11"/>
      <c r="O8" s="25"/>
      <c r="P8" s="10"/>
    </row>
    <row r="9" spans="1:16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34">
        <f t="shared" si="0"/>
        <v>186.02408</v>
      </c>
      <c r="H9" s="33">
        <v>186</v>
      </c>
      <c r="I9" s="45">
        <f t="shared" ref="I9:I15" si="1">E9*H9*12</f>
        <v>11160</v>
      </c>
      <c r="J9" s="40">
        <f t="shared" ref="J9:J15" si="2">H9/($B$20)</f>
        <v>1.3698226595180581E-3</v>
      </c>
      <c r="K9" s="19"/>
      <c r="L9" s="16"/>
      <c r="M9" s="11"/>
      <c r="N9" s="11"/>
      <c r="O9" s="60"/>
      <c r="P9" s="16"/>
    </row>
    <row r="10" spans="1:16" ht="15.75">
      <c r="A10" s="44">
        <v>98100</v>
      </c>
      <c r="B10" s="44">
        <v>98100</v>
      </c>
      <c r="C10" s="44"/>
      <c r="D10" s="27" t="s">
        <v>19</v>
      </c>
      <c r="E10" s="14">
        <v>131</v>
      </c>
      <c r="F10" s="28">
        <v>1.5100000000000001E-3</v>
      </c>
      <c r="G10" s="34">
        <f t="shared" si="0"/>
        <v>205.03384</v>
      </c>
      <c r="H10" s="33">
        <v>205</v>
      </c>
      <c r="I10" s="45">
        <f t="shared" si="1"/>
        <v>322260</v>
      </c>
      <c r="J10" s="40">
        <f t="shared" si="2"/>
        <v>1.5097507806516232E-3</v>
      </c>
      <c r="K10" s="19"/>
      <c r="L10" s="16"/>
      <c r="M10" s="11"/>
      <c r="N10" s="11"/>
      <c r="O10" s="60"/>
      <c r="P10" s="16"/>
    </row>
    <row r="11" spans="1:16" ht="15.75">
      <c r="A11" s="17"/>
      <c r="B11" s="20"/>
      <c r="C11" s="20"/>
      <c r="D11" s="27" t="s">
        <v>20</v>
      </c>
      <c r="E11" s="14">
        <v>13</v>
      </c>
      <c r="F11" s="28">
        <v>1.7799999999999999E-3</v>
      </c>
      <c r="G11" s="34">
        <f t="shared" si="0"/>
        <v>241.69551999999999</v>
      </c>
      <c r="H11" s="33">
        <v>242</v>
      </c>
      <c r="I11" s="45">
        <f t="shared" si="1"/>
        <v>37752</v>
      </c>
      <c r="J11" s="40">
        <f t="shared" si="2"/>
        <v>1.7822423849643552E-3</v>
      </c>
      <c r="K11" s="19"/>
      <c r="L11" s="16"/>
      <c r="M11" s="11"/>
      <c r="N11" s="11"/>
      <c r="O11" s="60"/>
      <c r="P11" s="16"/>
    </row>
    <row r="12" spans="1:16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34">
        <f t="shared" si="0"/>
        <v>251.2004</v>
      </c>
      <c r="H12" s="33">
        <v>251</v>
      </c>
      <c r="I12" s="45">
        <f t="shared" si="1"/>
        <v>620472</v>
      </c>
      <c r="J12" s="40">
        <f t="shared" si="2"/>
        <v>1.8485241265539386E-3</v>
      </c>
      <c r="K12" s="19"/>
      <c r="L12" s="16"/>
      <c r="M12" s="11"/>
      <c r="N12" s="11"/>
      <c r="O12" s="60"/>
      <c r="P12" s="16"/>
    </row>
    <row r="13" spans="1:16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34">
        <f t="shared" si="0"/>
        <v>274.28368</v>
      </c>
      <c r="H13" s="33">
        <v>275</v>
      </c>
      <c r="I13" s="45">
        <f t="shared" si="1"/>
        <v>36300</v>
      </c>
      <c r="J13" s="40">
        <f t="shared" si="2"/>
        <v>2.0252754374594944E-3</v>
      </c>
      <c r="K13" s="19"/>
      <c r="L13" s="16"/>
      <c r="M13" s="11"/>
      <c r="N13" s="11"/>
      <c r="O13" s="60"/>
      <c r="P13" s="16"/>
    </row>
    <row r="14" spans="1:16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34">
        <f t="shared" si="0"/>
        <v>279.71504000000004</v>
      </c>
      <c r="H14" s="33">
        <v>280</v>
      </c>
      <c r="I14" s="45">
        <f t="shared" si="1"/>
        <v>514080</v>
      </c>
      <c r="J14" s="40">
        <f t="shared" si="2"/>
        <v>2.0620986272314851E-3</v>
      </c>
      <c r="K14" s="19"/>
      <c r="L14" s="16"/>
      <c r="M14" s="11"/>
      <c r="N14" s="11"/>
      <c r="O14" s="60"/>
      <c r="P14" s="16"/>
    </row>
    <row r="15" spans="1:16" ht="15.75">
      <c r="A15" s="44">
        <f>A7-A10</f>
        <v>1459284</v>
      </c>
      <c r="B15" s="44">
        <f>B7-B10</f>
        <v>1531308</v>
      </c>
      <c r="C15" s="73">
        <f>(B15-'94'!A15)/'94'!A15</f>
        <v>4.9355711431085379E-2</v>
      </c>
      <c r="D15" s="27" t="s">
        <v>24</v>
      </c>
      <c r="E15" s="14">
        <v>21</v>
      </c>
      <c r="F15" s="28">
        <v>2.2599999999999999E-3</v>
      </c>
      <c r="G15" s="34">
        <f t="shared" si="0"/>
        <v>306.87183999999996</v>
      </c>
      <c r="H15" s="33">
        <v>307</v>
      </c>
      <c r="I15" s="56">
        <f t="shared" si="1"/>
        <v>77364</v>
      </c>
      <c r="J15" s="40">
        <f t="shared" si="2"/>
        <v>2.2609438520002356E-3</v>
      </c>
      <c r="K15" s="19"/>
      <c r="L15" s="16"/>
      <c r="M15" s="11"/>
      <c r="N15" s="11"/>
      <c r="O15" s="60"/>
      <c r="P15" s="16"/>
    </row>
    <row r="16" spans="1:16" ht="15.75">
      <c r="A16" s="44"/>
      <c r="B16" s="44"/>
      <c r="C16" s="44"/>
      <c r="D16" s="79"/>
      <c r="E16" s="80"/>
      <c r="F16" s="12"/>
      <c r="G16" s="18"/>
      <c r="H16" s="18"/>
      <c r="I16" s="45">
        <f>SUM(I8:I15)</f>
        <v>1629408</v>
      </c>
      <c r="J16" s="45"/>
      <c r="K16" s="19"/>
      <c r="L16" s="16"/>
      <c r="M16" s="11"/>
      <c r="N16" s="11"/>
      <c r="O16" s="60"/>
      <c r="P16" s="61"/>
    </row>
    <row r="17" spans="1:16" ht="15.75">
      <c r="A17" s="24" t="s">
        <v>31</v>
      </c>
      <c r="B17" s="24" t="s">
        <v>31</v>
      </c>
      <c r="C17" s="24"/>
      <c r="D17" s="13"/>
      <c r="E17" s="16"/>
      <c r="F17" s="12"/>
      <c r="G17" s="18"/>
      <c r="H17" s="18"/>
      <c r="I17" s="56"/>
      <c r="J17" s="45"/>
      <c r="K17" s="18"/>
      <c r="L17" s="18"/>
      <c r="M17" s="18"/>
      <c r="N17" s="11"/>
      <c r="O17" s="11"/>
      <c r="P17" s="17"/>
    </row>
    <row r="18" spans="1:16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18"/>
      <c r="J18" s="18"/>
      <c r="K18" s="18"/>
      <c r="L18" s="18"/>
      <c r="M18" s="18"/>
      <c r="N18" s="11"/>
      <c r="O18" s="11"/>
      <c r="P18" s="17"/>
    </row>
    <row r="19" spans="1:16" ht="15.75">
      <c r="A19" s="24" t="s">
        <v>61</v>
      </c>
      <c r="B19" s="24" t="s">
        <v>61</v>
      </c>
      <c r="C19" s="24"/>
    </row>
    <row r="20" spans="1:16" ht="15.75">
      <c r="A20" s="44">
        <f>A7/12</f>
        <v>129782</v>
      </c>
      <c r="B20" s="44">
        <f>B7/12</f>
        <v>135784</v>
      </c>
      <c r="C20" s="73">
        <f>(B20-'94'!A20)/'94'!A20</f>
        <v>4.6246783066989261E-2</v>
      </c>
    </row>
    <row r="21" spans="1:16" ht="15.75">
      <c r="A21" s="44"/>
      <c r="B21" s="44"/>
      <c r="C21" s="44"/>
    </row>
    <row r="22" spans="1:16" ht="15.75">
      <c r="A22" s="24" t="s">
        <v>31</v>
      </c>
      <c r="B22" s="24" t="s">
        <v>31</v>
      </c>
      <c r="C22" s="24"/>
    </row>
    <row r="23" spans="1:16" ht="15.75">
      <c r="A23" s="24" t="s">
        <v>65</v>
      </c>
      <c r="B23" s="24" t="s">
        <v>65</v>
      </c>
      <c r="C23" s="24"/>
    </row>
    <row r="24" spans="1:16" ht="15.75">
      <c r="A24" s="24" t="s">
        <v>61</v>
      </c>
      <c r="B24" s="24" t="s">
        <v>61</v>
      </c>
      <c r="C24" s="24"/>
    </row>
    <row r="25" spans="1:16" ht="15.75">
      <c r="A25" s="44">
        <f>A15/12</f>
        <v>121607</v>
      </c>
      <c r="B25" s="44">
        <f>B15/12</f>
        <v>127609</v>
      </c>
      <c r="C25" s="73">
        <f>(B25-'94'!A25)/'94'!A25</f>
        <v>4.9355711431085379E-2</v>
      </c>
    </row>
    <row r="26" spans="1:16" ht="15.75">
      <c r="A26" s="17"/>
      <c r="C26" s="20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5"/>
  <sheetViews>
    <sheetView showGridLines="0" topLeftCell="A13" workbookViewId="0">
      <selection activeCell="J8" sqref="J8:J15"/>
    </sheetView>
  </sheetViews>
  <sheetFormatPr defaultRowHeight="15.75"/>
  <cols>
    <col min="1" max="1" width="17.85546875" style="13" customWidth="1"/>
    <col min="2" max="2" width="12.140625" style="13" bestFit="1" customWidth="1"/>
    <col min="3" max="3" width="8.140625" style="11" customWidth="1"/>
    <col min="4" max="4" width="11.140625" style="12" customWidth="1"/>
    <col min="5" max="6" width="7.7109375" style="12" customWidth="1"/>
    <col min="7" max="7" width="10.5703125" style="12" customWidth="1"/>
    <col min="8" max="8" width="9.42578125" style="11" customWidth="1"/>
    <col min="9" max="9" width="4.85546875" style="12" customWidth="1"/>
    <col min="10" max="10" width="5.5703125" style="11" customWidth="1"/>
    <col min="11" max="11" width="7.28515625" style="12" customWidth="1"/>
    <col min="12" max="12" width="7.85546875" style="11" customWidth="1"/>
    <col min="13" max="13" width="10.42578125" style="11" customWidth="1"/>
    <col min="14" max="14" width="9.85546875" style="13" customWidth="1"/>
    <col min="15" max="15" width="5.85546875" style="13" customWidth="1"/>
    <col min="16" max="16" width="6.5703125" style="13" customWidth="1"/>
    <col min="17" max="17" width="11" style="13" customWidth="1"/>
    <col min="18" max="18" width="7" style="11" customWidth="1"/>
    <col min="19" max="19" width="5.5703125" style="11" customWidth="1"/>
    <col min="20" max="20" width="11.140625" style="11" customWidth="1"/>
    <col min="21" max="22" width="12.28515625" style="11" customWidth="1"/>
    <col min="23" max="16384" width="9.140625" style="13"/>
  </cols>
  <sheetData>
    <row r="1" spans="1:22" ht="26.25">
      <c r="A1" s="1" t="s">
        <v>127</v>
      </c>
      <c r="B1" s="17"/>
      <c r="C1" s="17"/>
      <c r="D1" s="17"/>
      <c r="E1" s="17"/>
      <c r="F1" s="17"/>
      <c r="G1" s="17"/>
      <c r="H1" s="17"/>
      <c r="I1" s="13"/>
      <c r="K1" s="13"/>
      <c r="L1" s="13"/>
      <c r="M1" s="13"/>
      <c r="R1" s="13"/>
      <c r="S1" s="13"/>
      <c r="T1" s="13"/>
      <c r="U1" s="13"/>
      <c r="V1" s="13"/>
    </row>
    <row r="2" spans="1:22">
      <c r="A2" s="20"/>
      <c r="H2" s="12"/>
      <c r="I2" s="13"/>
      <c r="K2" s="13"/>
      <c r="L2" s="13"/>
      <c r="M2" s="13"/>
      <c r="R2" s="13"/>
      <c r="S2" s="13"/>
      <c r="T2" s="13"/>
      <c r="U2" s="13"/>
      <c r="V2" s="13"/>
    </row>
    <row r="3" spans="1:22">
      <c r="A3" s="20"/>
      <c r="H3" s="12"/>
      <c r="I3" s="13"/>
      <c r="K3" s="13"/>
      <c r="L3" s="13"/>
      <c r="M3" s="13"/>
      <c r="R3" s="13"/>
      <c r="S3" s="13"/>
      <c r="T3" s="13"/>
      <c r="U3" s="13"/>
      <c r="V3" s="13"/>
    </row>
    <row r="4" spans="1:22">
      <c r="A4" s="24" t="s">
        <v>66</v>
      </c>
      <c r="E4" s="10" t="s">
        <v>36</v>
      </c>
      <c r="F4" s="11" t="s">
        <v>46</v>
      </c>
      <c r="G4"/>
      <c r="H4"/>
      <c r="I4" s="13"/>
      <c r="K4" s="13"/>
      <c r="L4" s="13"/>
      <c r="M4" s="13"/>
      <c r="R4" s="13"/>
      <c r="S4" s="13"/>
      <c r="T4" s="13"/>
      <c r="U4" s="13"/>
      <c r="V4" s="13"/>
    </row>
    <row r="5" spans="1:22">
      <c r="A5" s="24" t="s">
        <v>60</v>
      </c>
      <c r="B5" s="10"/>
      <c r="C5" s="10" t="s">
        <v>12</v>
      </c>
      <c r="D5" s="10"/>
      <c r="E5" s="11" t="s">
        <v>35</v>
      </c>
      <c r="F5" s="11" t="s">
        <v>47</v>
      </c>
      <c r="G5"/>
      <c r="H5"/>
      <c r="I5" s="13"/>
      <c r="K5" s="13"/>
      <c r="L5" s="13"/>
      <c r="M5" s="13"/>
      <c r="R5" s="13"/>
      <c r="S5" s="13"/>
      <c r="T5" s="13"/>
      <c r="U5" s="13"/>
      <c r="V5" s="13"/>
    </row>
    <row r="6" spans="1:22">
      <c r="A6" s="44">
        <v>1629408</v>
      </c>
      <c r="B6" s="10"/>
      <c r="C6" s="10" t="s">
        <v>1</v>
      </c>
      <c r="D6" s="23"/>
      <c r="E6" s="11" t="s">
        <v>14</v>
      </c>
      <c r="F6" s="57" t="s">
        <v>67</v>
      </c>
      <c r="G6"/>
      <c r="H6"/>
      <c r="I6" s="13"/>
      <c r="K6" s="13"/>
      <c r="L6" s="13"/>
      <c r="M6" s="13"/>
      <c r="R6" s="13"/>
      <c r="S6" s="13"/>
      <c r="T6" s="13"/>
      <c r="U6" s="13"/>
      <c r="V6" s="13"/>
    </row>
    <row r="7" spans="1:22">
      <c r="A7" s="44"/>
      <c r="B7" s="26" t="s">
        <v>13</v>
      </c>
      <c r="C7" s="26" t="s">
        <v>2</v>
      </c>
      <c r="D7" s="10" t="s">
        <v>16</v>
      </c>
      <c r="E7" s="11" t="s">
        <v>32</v>
      </c>
      <c r="F7" s="11">
        <v>1996</v>
      </c>
      <c r="G7" s="10" t="s">
        <v>15</v>
      </c>
      <c r="H7" s="10" t="s">
        <v>35</v>
      </c>
      <c r="I7" s="13"/>
      <c r="J7" s="142" t="s">
        <v>129</v>
      </c>
      <c r="K7" s="13"/>
      <c r="L7" s="13"/>
      <c r="M7" s="13"/>
      <c r="R7" s="13"/>
      <c r="S7" s="13"/>
      <c r="T7" s="13"/>
      <c r="U7" s="13"/>
      <c r="V7" s="13"/>
    </row>
    <row r="8" spans="1:22">
      <c r="A8" s="24" t="s">
        <v>61</v>
      </c>
      <c r="B8" s="27" t="s">
        <v>17</v>
      </c>
      <c r="C8" s="14">
        <v>5</v>
      </c>
      <c r="D8" s="28">
        <v>1.23E-3</v>
      </c>
      <c r="E8" s="14">
        <f>D8*$A$19</f>
        <v>167.01432</v>
      </c>
      <c r="F8" s="14">
        <v>167</v>
      </c>
      <c r="G8" s="45">
        <f>C8*F8*12</f>
        <v>10020</v>
      </c>
      <c r="H8" s="40">
        <f t="shared" ref="H8:H15" si="0">F8/($G$16/12)</f>
        <v>1.2298945383844931E-3</v>
      </c>
      <c r="I8" s="13"/>
      <c r="J8" s="3">
        <v>10</v>
      </c>
      <c r="K8" s="13"/>
      <c r="L8" s="13"/>
      <c r="M8" s="13"/>
      <c r="R8" s="13"/>
      <c r="S8" s="13"/>
      <c r="T8" s="13"/>
      <c r="U8" s="13"/>
      <c r="V8" s="13"/>
    </row>
    <row r="9" spans="1:22">
      <c r="A9" s="44">
        <v>98100</v>
      </c>
      <c r="B9" s="31" t="s">
        <v>18</v>
      </c>
      <c r="C9" s="14">
        <v>5</v>
      </c>
      <c r="D9" s="28">
        <v>1.3699999999999999E-3</v>
      </c>
      <c r="E9" s="14">
        <f t="shared" ref="E9:E15" si="1">D9*$A$19</f>
        <v>186.02408</v>
      </c>
      <c r="F9" s="14">
        <v>186</v>
      </c>
      <c r="G9" s="45">
        <f t="shared" ref="G9:G15" si="2">C9*F9*12</f>
        <v>11160</v>
      </c>
      <c r="H9" s="40">
        <f t="shared" si="0"/>
        <v>1.3698226595180581E-3</v>
      </c>
      <c r="I9" s="13"/>
      <c r="J9" s="3">
        <v>11</v>
      </c>
      <c r="K9" s="13"/>
      <c r="L9" s="13"/>
      <c r="M9" s="13"/>
      <c r="R9" s="13"/>
      <c r="S9" s="13"/>
      <c r="T9" s="13"/>
      <c r="U9" s="13"/>
      <c r="V9" s="13"/>
    </row>
    <row r="10" spans="1:22">
      <c r="A10" s="20"/>
      <c r="B10" s="27" t="s">
        <v>19</v>
      </c>
      <c r="C10" s="14">
        <v>131</v>
      </c>
      <c r="D10" s="28">
        <v>1.5100000000000001E-3</v>
      </c>
      <c r="E10" s="14">
        <f t="shared" si="1"/>
        <v>205.03384</v>
      </c>
      <c r="F10" s="14">
        <v>205</v>
      </c>
      <c r="G10" s="45">
        <f t="shared" si="2"/>
        <v>322260</v>
      </c>
      <c r="H10" s="40">
        <f t="shared" si="0"/>
        <v>1.5097507806516232E-3</v>
      </c>
      <c r="I10" s="13"/>
      <c r="J10" s="3">
        <v>12</v>
      </c>
      <c r="K10" s="13"/>
      <c r="L10" s="13"/>
      <c r="M10" s="13"/>
      <c r="R10" s="13"/>
      <c r="S10" s="13"/>
      <c r="T10" s="13"/>
      <c r="U10" s="13"/>
      <c r="V10" s="13"/>
    </row>
    <row r="11" spans="1:22">
      <c r="A11" s="24" t="s">
        <v>62</v>
      </c>
      <c r="B11" s="27" t="s">
        <v>20</v>
      </c>
      <c r="C11" s="14">
        <v>13</v>
      </c>
      <c r="D11" s="28">
        <v>1.7799999999999999E-3</v>
      </c>
      <c r="E11" s="14">
        <f t="shared" si="1"/>
        <v>241.69551999999999</v>
      </c>
      <c r="F11" s="14">
        <v>242</v>
      </c>
      <c r="G11" s="45">
        <f t="shared" si="2"/>
        <v>37752</v>
      </c>
      <c r="H11" s="40">
        <f t="shared" si="0"/>
        <v>1.7822423849643552E-3</v>
      </c>
      <c r="I11" s="13"/>
      <c r="J11" s="3">
        <v>15</v>
      </c>
      <c r="K11" s="13"/>
      <c r="L11" s="13"/>
      <c r="M11" s="13"/>
      <c r="R11" s="13"/>
      <c r="S11" s="13"/>
      <c r="T11" s="13"/>
      <c r="U11" s="13"/>
      <c r="V11" s="13"/>
    </row>
    <row r="12" spans="1:22">
      <c r="A12" s="24" t="s">
        <v>63</v>
      </c>
      <c r="B12" s="27" t="s">
        <v>21</v>
      </c>
      <c r="C12" s="14">
        <v>206</v>
      </c>
      <c r="D12" s="28">
        <v>1.8500000000000001E-3</v>
      </c>
      <c r="E12" s="14">
        <f t="shared" si="1"/>
        <v>251.2004</v>
      </c>
      <c r="F12" s="14">
        <v>251</v>
      </c>
      <c r="G12" s="45">
        <f t="shared" si="2"/>
        <v>620472</v>
      </c>
      <c r="H12" s="40">
        <f t="shared" si="0"/>
        <v>1.8485241265539386E-3</v>
      </c>
      <c r="I12" s="13"/>
      <c r="J12" s="3">
        <v>15</v>
      </c>
      <c r="K12" s="13"/>
      <c r="L12" s="13"/>
      <c r="M12" s="13"/>
      <c r="R12" s="13"/>
      <c r="S12" s="13"/>
      <c r="T12" s="13"/>
      <c r="U12" s="13"/>
      <c r="V12" s="13"/>
    </row>
    <row r="13" spans="1:22">
      <c r="A13" s="24" t="s">
        <v>61</v>
      </c>
      <c r="B13" s="27" t="s">
        <v>22</v>
      </c>
      <c r="C13" s="14">
        <v>11</v>
      </c>
      <c r="D13" s="28">
        <v>2.0219999999999999E-3</v>
      </c>
      <c r="E13" s="14">
        <f t="shared" si="1"/>
        <v>274.55524800000001</v>
      </c>
      <c r="F13" s="14">
        <v>275</v>
      </c>
      <c r="G13" s="45">
        <f t="shared" si="2"/>
        <v>36300</v>
      </c>
      <c r="H13" s="40">
        <f t="shared" si="0"/>
        <v>2.0252754374594944E-3</v>
      </c>
      <c r="I13" s="13"/>
      <c r="J13" s="3">
        <v>17</v>
      </c>
      <c r="K13" s="13"/>
      <c r="L13" s="13"/>
      <c r="M13" s="13"/>
      <c r="R13" s="13"/>
      <c r="S13" s="13"/>
      <c r="T13" s="13"/>
      <c r="U13" s="13"/>
      <c r="V13" s="13"/>
    </row>
    <row r="14" spans="1:22">
      <c r="A14" s="44">
        <f>A6-A9</f>
        <v>1531308</v>
      </c>
      <c r="B14" s="27" t="s">
        <v>23</v>
      </c>
      <c r="C14" s="14">
        <v>153</v>
      </c>
      <c r="D14" s="28">
        <v>2.0600000000000002E-3</v>
      </c>
      <c r="E14" s="14">
        <f t="shared" si="1"/>
        <v>279.71504000000004</v>
      </c>
      <c r="F14" s="14">
        <v>280</v>
      </c>
      <c r="G14" s="45">
        <f t="shared" si="2"/>
        <v>514080</v>
      </c>
      <c r="H14" s="40">
        <f t="shared" si="0"/>
        <v>2.0620986272314851E-3</v>
      </c>
      <c r="I14" s="13"/>
      <c r="J14" s="3">
        <v>17</v>
      </c>
      <c r="K14" s="13"/>
      <c r="L14" s="13"/>
      <c r="M14" s="13"/>
      <c r="R14" s="13"/>
      <c r="S14" s="13"/>
      <c r="T14" s="13"/>
      <c r="U14" s="13"/>
      <c r="V14" s="13"/>
    </row>
    <row r="15" spans="1:22">
      <c r="A15" s="44"/>
      <c r="B15" s="27" t="s">
        <v>24</v>
      </c>
      <c r="C15" s="14">
        <v>21</v>
      </c>
      <c r="D15" s="28">
        <v>2.2599999999999999E-3</v>
      </c>
      <c r="E15" s="14">
        <f t="shared" si="1"/>
        <v>306.87183999999996</v>
      </c>
      <c r="F15" s="14">
        <v>307</v>
      </c>
      <c r="G15" s="56">
        <f t="shared" si="2"/>
        <v>77364</v>
      </c>
      <c r="H15" s="40">
        <f t="shared" si="0"/>
        <v>2.2609438520002356E-3</v>
      </c>
      <c r="I15" s="13"/>
      <c r="J15" s="3">
        <v>18</v>
      </c>
      <c r="K15" s="13"/>
      <c r="L15" s="13"/>
      <c r="M15" s="13"/>
      <c r="R15" s="13"/>
      <c r="S15" s="13"/>
      <c r="T15" s="13"/>
      <c r="U15" s="13"/>
      <c r="V15" s="13"/>
    </row>
    <row r="16" spans="1:22">
      <c r="A16" s="24" t="s">
        <v>31</v>
      </c>
      <c r="B16" s="79"/>
      <c r="C16" s="80"/>
      <c r="E16" s="18"/>
      <c r="F16" s="18"/>
      <c r="G16" s="45">
        <f>SUM(G8:G15)</f>
        <v>1629408</v>
      </c>
      <c r="H16" s="45"/>
      <c r="I16" s="13"/>
      <c r="K16" s="13"/>
      <c r="L16" s="13"/>
      <c r="M16" s="13"/>
      <c r="R16" s="13"/>
      <c r="S16" s="13"/>
      <c r="T16" s="13"/>
      <c r="U16" s="13"/>
      <c r="V16" s="13"/>
    </row>
    <row r="17" spans="1:5">
      <c r="A17" s="24" t="s">
        <v>64</v>
      </c>
      <c r="E17" s="15"/>
    </row>
    <row r="18" spans="1:5">
      <c r="A18" s="24" t="s">
        <v>61</v>
      </c>
      <c r="E18" s="15"/>
    </row>
    <row r="19" spans="1:5">
      <c r="A19" s="44">
        <f>A6/12</f>
        <v>135784</v>
      </c>
      <c r="E19" s="15"/>
    </row>
    <row r="20" spans="1:5">
      <c r="A20" s="44"/>
      <c r="E20" s="15"/>
    </row>
    <row r="21" spans="1:5">
      <c r="A21" s="24" t="s">
        <v>31</v>
      </c>
      <c r="E21" s="15"/>
    </row>
    <row r="22" spans="1:5">
      <c r="A22" s="24" t="s">
        <v>65</v>
      </c>
    </row>
    <row r="23" spans="1:5">
      <c r="A23" s="24" t="s">
        <v>61</v>
      </c>
    </row>
    <row r="24" spans="1:5">
      <c r="A24" s="44">
        <f>A14/12</f>
        <v>127609</v>
      </c>
    </row>
    <row r="25" spans="1:5">
      <c r="A25" s="20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2"/>
  <sheetViews>
    <sheetView showGridLines="0" topLeftCell="C7" workbookViewId="0">
      <selection activeCell="R15" sqref="R15:R22"/>
    </sheetView>
  </sheetViews>
  <sheetFormatPr defaultRowHeight="15"/>
  <cols>
    <col min="18" max="18" width="4" customWidth="1"/>
  </cols>
  <sheetData>
    <row r="1" spans="1:18" ht="26.25">
      <c r="A1" s="1" t="s">
        <v>127</v>
      </c>
    </row>
    <row r="15" spans="1:18">
      <c r="R15">
        <v>10</v>
      </c>
    </row>
    <row r="16" spans="1:18">
      <c r="R16">
        <v>11</v>
      </c>
    </row>
    <row r="17" spans="18:18">
      <c r="R17">
        <v>12</v>
      </c>
    </row>
    <row r="18" spans="18:18">
      <c r="R18">
        <v>15</v>
      </c>
    </row>
    <row r="19" spans="18:18">
      <c r="R19">
        <v>15</v>
      </c>
    </row>
    <row r="20" spans="18:18">
      <c r="R20">
        <v>17</v>
      </c>
    </row>
    <row r="21" spans="18:18">
      <c r="R21">
        <v>17</v>
      </c>
    </row>
    <row r="22" spans="18:18">
      <c r="R22">
        <v>18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9"/>
  <sheetViews>
    <sheetView showGridLines="0" topLeftCell="A22" workbookViewId="0">
      <selection activeCell="L8" sqref="L8"/>
    </sheetView>
  </sheetViews>
  <sheetFormatPr defaultRowHeight="15"/>
  <cols>
    <col min="1" max="1" width="15.42578125" customWidth="1"/>
    <col min="2" max="2" width="12.140625" bestFit="1" customWidth="1"/>
    <col min="3" max="3" width="6.140625" bestFit="1" customWidth="1"/>
    <col min="4" max="4" width="10.42578125" bestFit="1" customWidth="1"/>
    <col min="5" max="5" width="6" customWidth="1"/>
    <col min="6" max="6" width="11.140625" bestFit="1" customWidth="1"/>
    <col min="7" max="7" width="4.5703125" bestFit="1" customWidth="1"/>
    <col min="8" max="9" width="11.140625" customWidth="1"/>
    <col min="10" max="10" width="8.42578125" bestFit="1" customWidth="1"/>
    <col min="11" max="11" width="10.140625" customWidth="1"/>
    <col min="12" max="12" width="10.28515625" customWidth="1"/>
    <col min="13" max="13" width="9.28515625" customWidth="1"/>
    <col min="14" max="14" width="6.85546875" customWidth="1"/>
    <col min="15" max="15" width="6.85546875" style="3" customWidth="1"/>
    <col min="16" max="16" width="5.28515625" customWidth="1"/>
    <col min="17" max="17" width="4.7109375" bestFit="1" customWidth="1"/>
    <col min="18" max="18" width="7.5703125" bestFit="1" customWidth="1"/>
    <col min="19" max="19" width="8.42578125" bestFit="1" customWidth="1"/>
    <col min="20" max="20" width="9.5703125" bestFit="1" customWidth="1"/>
  </cols>
  <sheetData>
    <row r="1" spans="1:21" ht="26.25">
      <c r="A1" s="2" t="s">
        <v>72</v>
      </c>
      <c r="C1" s="2"/>
    </row>
    <row r="2" spans="1:21" ht="26.25">
      <c r="B2" s="2"/>
      <c r="C2" s="2"/>
    </row>
    <row r="3" spans="1:21" ht="31.5" customHeight="1"/>
    <row r="4" spans="1:21" ht="26.25">
      <c r="A4" s="24">
        <v>1997</v>
      </c>
      <c r="B4" s="24">
        <v>1998</v>
      </c>
      <c r="C4" s="2"/>
      <c r="D4" s="13"/>
      <c r="E4" s="11"/>
      <c r="F4" s="12"/>
      <c r="G4" s="10" t="s">
        <v>36</v>
      </c>
      <c r="H4" s="10"/>
      <c r="I4" s="10"/>
      <c r="J4" s="11" t="s">
        <v>46</v>
      </c>
      <c r="N4" s="24" t="s">
        <v>34</v>
      </c>
      <c r="Q4" s="3">
        <v>1</v>
      </c>
    </row>
    <row r="5" spans="1:21" ht="15.75">
      <c r="A5" s="24" t="s">
        <v>66</v>
      </c>
      <c r="B5" s="24" t="s">
        <v>66</v>
      </c>
      <c r="C5" s="24"/>
      <c r="D5" s="10"/>
      <c r="E5" s="10" t="s">
        <v>12</v>
      </c>
      <c r="F5" s="10"/>
      <c r="G5" s="11" t="s">
        <v>35</v>
      </c>
      <c r="H5" s="11"/>
      <c r="I5" s="11"/>
      <c r="J5" s="11" t="s">
        <v>47</v>
      </c>
      <c r="N5" s="10" t="s">
        <v>35</v>
      </c>
      <c r="P5" s="3" t="s">
        <v>75</v>
      </c>
      <c r="Q5" s="3">
        <v>9</v>
      </c>
      <c r="R5" s="3" t="s">
        <v>75</v>
      </c>
      <c r="S5" s="3" t="s">
        <v>75</v>
      </c>
    </row>
    <row r="6" spans="1:21" ht="15.75">
      <c r="A6" s="24" t="s">
        <v>60</v>
      </c>
      <c r="B6" s="24" t="s">
        <v>60</v>
      </c>
      <c r="C6" s="24"/>
      <c r="D6" s="10"/>
      <c r="E6" s="10" t="s">
        <v>1</v>
      </c>
      <c r="F6" s="23"/>
      <c r="G6" s="11" t="s">
        <v>14</v>
      </c>
      <c r="H6" s="11"/>
      <c r="I6" s="11"/>
      <c r="J6" s="57" t="s">
        <v>67</v>
      </c>
      <c r="L6" s="3" t="s">
        <v>36</v>
      </c>
      <c r="M6" s="3" t="s">
        <v>105</v>
      </c>
      <c r="N6" s="10" t="s">
        <v>14</v>
      </c>
      <c r="P6" s="3">
        <v>1997</v>
      </c>
      <c r="Q6" s="3">
        <v>9</v>
      </c>
      <c r="R6" s="3">
        <v>1997</v>
      </c>
      <c r="S6" s="3">
        <v>1997</v>
      </c>
    </row>
    <row r="7" spans="1:21" ht="15.75">
      <c r="A7" s="44">
        <v>1629408</v>
      </c>
      <c r="B7" s="123">
        <v>1731869</v>
      </c>
      <c r="C7" s="73">
        <f>(B7-A7)/A7</f>
        <v>6.288234745379917E-2</v>
      </c>
      <c r="D7" s="26" t="s">
        <v>13</v>
      </c>
      <c r="E7" s="26" t="s">
        <v>2</v>
      </c>
      <c r="F7" s="10" t="s">
        <v>16</v>
      </c>
      <c r="G7" s="11" t="s">
        <v>32</v>
      </c>
      <c r="H7" s="11" t="s">
        <v>15</v>
      </c>
      <c r="I7" s="11" t="s">
        <v>35</v>
      </c>
      <c r="J7" s="11">
        <v>1998</v>
      </c>
      <c r="K7" s="10" t="s">
        <v>15</v>
      </c>
      <c r="L7" s="10" t="s">
        <v>35</v>
      </c>
      <c r="M7" s="10" t="s">
        <v>35</v>
      </c>
      <c r="N7" s="10" t="s">
        <v>32</v>
      </c>
      <c r="O7" s="74">
        <v>1997</v>
      </c>
      <c r="P7" s="74">
        <v>1998</v>
      </c>
      <c r="Q7" s="74">
        <v>7</v>
      </c>
      <c r="R7" s="74">
        <v>1998</v>
      </c>
      <c r="S7" s="74">
        <v>1998</v>
      </c>
    </row>
    <row r="8" spans="1:21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 t="shared" ref="G8:G15" si="0">F8*$B$20</f>
        <v>177.5165725</v>
      </c>
      <c r="H8" s="161">
        <f>E8*G8*12</f>
        <v>10650.994349999999</v>
      </c>
      <c r="I8" s="66">
        <f>G8/($H$16/12)</f>
        <v>1.2301107099638967E-3</v>
      </c>
      <c r="J8" s="14">
        <v>179</v>
      </c>
      <c r="K8" s="36">
        <f t="shared" ref="K8:K15" si="1">E8*J8*12</f>
        <v>10740</v>
      </c>
      <c r="L8" s="66">
        <f t="shared" ref="L8:L15" si="2">J8/($K$16/12)</f>
        <v>1.2406002009910941E-3</v>
      </c>
      <c r="M8" s="66">
        <f>(J8-$B$28)/$B$25</f>
        <v>1.1917037929033666E-3</v>
      </c>
      <c r="N8" s="29">
        <f t="shared" ref="N8:N15" si="3">F8*$B$25+$B$28</f>
        <v>184.10957249999998</v>
      </c>
      <c r="O8" s="3">
        <v>167</v>
      </c>
      <c r="P8" s="41">
        <f t="shared" ref="P8:P15" si="4">(J8-O8)/J8</f>
        <v>6.7039106145251395E-2</v>
      </c>
      <c r="Q8" s="3">
        <v>10</v>
      </c>
      <c r="R8" s="41">
        <f t="shared" ref="R8:R15" si="5">((J8-20)-(O8-Q8))/(J8-20)</f>
        <v>1.2578616352201259E-2</v>
      </c>
      <c r="S8" s="41">
        <f t="shared" ref="S8:S15" si="6">((J8-20)-(O8-15))/(J8-20)</f>
        <v>4.40251572327044E-2</v>
      </c>
      <c r="T8" s="18">
        <v>5.9179999999999996E-3</v>
      </c>
      <c r="U8" s="40">
        <f>T8/E8</f>
        <v>1.1835999999999999E-3</v>
      </c>
    </row>
    <row r="9" spans="1:21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si="0"/>
        <v>197.7217108333333</v>
      </c>
      <c r="H9" s="162">
        <f t="shared" ref="H9:H15" si="7">E9*G9*12</f>
        <v>11863.302649999998</v>
      </c>
      <c r="I9" s="66">
        <f t="shared" ref="I9:I15" si="8">G9/($H$16/12)</f>
        <v>1.3701233110979987E-3</v>
      </c>
      <c r="J9" s="14">
        <v>198</v>
      </c>
      <c r="K9" s="36">
        <f t="shared" si="1"/>
        <v>11880</v>
      </c>
      <c r="L9" s="66">
        <f t="shared" si="2"/>
        <v>1.3722840212080259E-3</v>
      </c>
      <c r="M9" s="66">
        <f t="shared" ref="M9:M15" si="9">(J9-$B$28)/$B$25</f>
        <v>1.3341086486591148E-3</v>
      </c>
      <c r="N9" s="29">
        <f t="shared" si="3"/>
        <v>202.78871083333331</v>
      </c>
      <c r="O9" s="3">
        <v>186</v>
      </c>
      <c r="P9" s="41">
        <f t="shared" si="4"/>
        <v>6.0606060606060608E-2</v>
      </c>
      <c r="Q9" s="3">
        <v>11</v>
      </c>
      <c r="R9" s="41">
        <f t="shared" si="5"/>
        <v>1.6853932584269662E-2</v>
      </c>
      <c r="S9" s="41">
        <f t="shared" si="6"/>
        <v>3.9325842696629212E-2</v>
      </c>
      <c r="T9" s="136">
        <v>6.6969999999999998E-3</v>
      </c>
      <c r="U9" s="40">
        <f t="shared" ref="U9:U15" si="10">T9/E9</f>
        <v>1.3393999999999999E-3</v>
      </c>
    </row>
    <row r="10" spans="1:21" ht="15.75">
      <c r="A10" s="61">
        <v>98100</v>
      </c>
      <c r="B10" s="83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0"/>
        <v>217.92684916666667</v>
      </c>
      <c r="H10" s="162">
        <f t="shared" si="7"/>
        <v>342581.00688999996</v>
      </c>
      <c r="I10" s="66">
        <f t="shared" si="8"/>
        <v>1.510135912232101E-3</v>
      </c>
      <c r="J10" s="14">
        <v>218</v>
      </c>
      <c r="K10" s="36">
        <f t="shared" si="1"/>
        <v>342696</v>
      </c>
      <c r="L10" s="66">
        <f t="shared" si="2"/>
        <v>1.5108985688047961E-3</v>
      </c>
      <c r="M10" s="66">
        <f t="shared" si="9"/>
        <v>1.4840084968230601E-3</v>
      </c>
      <c r="N10" s="29">
        <f t="shared" si="3"/>
        <v>221.46784916666667</v>
      </c>
      <c r="O10" s="3">
        <v>205</v>
      </c>
      <c r="P10" s="41">
        <f t="shared" si="4"/>
        <v>5.9633027522935783E-2</v>
      </c>
      <c r="Q10" s="3">
        <v>12</v>
      </c>
      <c r="R10" s="41">
        <f t="shared" si="5"/>
        <v>2.5252525252525252E-2</v>
      </c>
      <c r="S10" s="41">
        <f t="shared" si="6"/>
        <v>4.0404040404040407E-2</v>
      </c>
      <c r="T10" s="136">
        <v>0.19432199999999999</v>
      </c>
      <c r="U10" s="40">
        <f t="shared" si="10"/>
        <v>1.4833740458015266E-3</v>
      </c>
    </row>
    <row r="11" spans="1:21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0"/>
        <v>256.89390166666664</v>
      </c>
      <c r="H11" s="162">
        <f t="shared" si="7"/>
        <v>40075.448659999995</v>
      </c>
      <c r="I11" s="66">
        <f t="shared" si="8"/>
        <v>1.7801602144192975E-3</v>
      </c>
      <c r="J11" s="14">
        <v>257</v>
      </c>
      <c r="K11" s="36">
        <f t="shared" si="1"/>
        <v>40092</v>
      </c>
      <c r="L11" s="66">
        <f t="shared" si="2"/>
        <v>1.7811969366184981E-3</v>
      </c>
      <c r="M11" s="66">
        <f t="shared" si="9"/>
        <v>1.7763132007427539E-3</v>
      </c>
      <c r="N11" s="29">
        <f t="shared" si="3"/>
        <v>257.49190166666665</v>
      </c>
      <c r="O11" s="3">
        <v>242</v>
      </c>
      <c r="P11" s="41">
        <f t="shared" si="4"/>
        <v>5.8365758754863814E-2</v>
      </c>
      <c r="Q11" s="3">
        <v>15</v>
      </c>
      <c r="R11" s="41">
        <f t="shared" si="5"/>
        <v>4.2194092827004218E-2</v>
      </c>
      <c r="S11" s="41">
        <f t="shared" si="6"/>
        <v>4.2194092827004218E-2</v>
      </c>
      <c r="T11" s="136">
        <v>2.3234000000000001E-2</v>
      </c>
      <c r="U11" s="40">
        <f t="shared" si="10"/>
        <v>1.7872307692307693E-3</v>
      </c>
    </row>
    <row r="12" spans="1:21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0"/>
        <v>266.99647083333332</v>
      </c>
      <c r="H12" s="162">
        <f t="shared" si="7"/>
        <v>660015.27590000001</v>
      </c>
      <c r="I12" s="66">
        <f t="shared" si="8"/>
        <v>1.8501665149863486E-3</v>
      </c>
      <c r="J12" s="14">
        <v>267</v>
      </c>
      <c r="K12" s="36">
        <f t="shared" si="1"/>
        <v>660024</v>
      </c>
      <c r="L12" s="66">
        <f t="shared" si="2"/>
        <v>1.8505042104168833E-3</v>
      </c>
      <c r="M12" s="66">
        <f t="shared" si="9"/>
        <v>1.8512631248247266E-3</v>
      </c>
      <c r="N12" s="29">
        <f t="shared" si="3"/>
        <v>266.83147083333336</v>
      </c>
      <c r="O12" s="3">
        <v>251</v>
      </c>
      <c r="P12" s="41">
        <f t="shared" si="4"/>
        <v>5.9925093632958802E-2</v>
      </c>
      <c r="Q12" s="3">
        <v>15</v>
      </c>
      <c r="R12" s="41">
        <f t="shared" si="5"/>
        <v>4.4534412955465584E-2</v>
      </c>
      <c r="S12" s="41">
        <f t="shared" si="6"/>
        <v>4.4534412955465584E-2</v>
      </c>
      <c r="T12" s="136">
        <v>0.38052799999999998</v>
      </c>
      <c r="U12" s="40">
        <f t="shared" si="10"/>
        <v>1.8472233009708737E-3</v>
      </c>
    </row>
    <row r="13" spans="1:21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0"/>
        <v>291.53128166666664</v>
      </c>
      <c r="H13" s="162">
        <f t="shared" si="7"/>
        <v>38482.129179999996</v>
      </c>
      <c r="I13" s="66">
        <f t="shared" si="8"/>
        <v>2.0201818163634727E-3</v>
      </c>
      <c r="J13" s="14">
        <v>292</v>
      </c>
      <c r="K13" s="36">
        <f t="shared" si="1"/>
        <v>38544</v>
      </c>
      <c r="L13" s="66">
        <f t="shared" si="2"/>
        <v>2.023772394912846E-3</v>
      </c>
      <c r="M13" s="66">
        <f t="shared" si="9"/>
        <v>2.0386379350296586E-3</v>
      </c>
      <c r="N13" s="29">
        <f t="shared" si="3"/>
        <v>289.51328166666667</v>
      </c>
      <c r="O13" s="3">
        <v>275</v>
      </c>
      <c r="P13" s="41">
        <f t="shared" si="4"/>
        <v>5.8219178082191778E-2</v>
      </c>
      <c r="Q13" s="3">
        <v>17</v>
      </c>
      <c r="R13" s="41">
        <f t="shared" si="5"/>
        <v>5.1470588235294115E-2</v>
      </c>
      <c r="S13" s="41">
        <f t="shared" si="6"/>
        <v>4.4117647058823532E-2</v>
      </c>
      <c r="T13" s="136">
        <v>2.2387000000000001E-2</v>
      </c>
      <c r="U13" s="40">
        <f t="shared" si="10"/>
        <v>2.0351818181818184E-3</v>
      </c>
    </row>
    <row r="14" spans="1:21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0"/>
        <v>297.30417833333337</v>
      </c>
      <c r="H14" s="162">
        <f t="shared" si="7"/>
        <v>545850.47142000007</v>
      </c>
      <c r="I14" s="66">
        <f t="shared" si="8"/>
        <v>2.0601854166875022E-3</v>
      </c>
      <c r="J14" s="14">
        <v>297</v>
      </c>
      <c r="K14" s="36">
        <f t="shared" si="1"/>
        <v>545292</v>
      </c>
      <c r="L14" s="66">
        <f t="shared" si="2"/>
        <v>2.0584260318120386E-3</v>
      </c>
      <c r="M14" s="66">
        <f t="shared" si="9"/>
        <v>2.0761128970706449E-3</v>
      </c>
      <c r="N14" s="29">
        <f t="shared" si="3"/>
        <v>294.85017833333336</v>
      </c>
      <c r="O14" s="3">
        <v>280</v>
      </c>
      <c r="P14" s="41">
        <f t="shared" si="4"/>
        <v>5.7239057239057242E-2</v>
      </c>
      <c r="Q14" s="3">
        <v>17</v>
      </c>
      <c r="R14" s="41">
        <f t="shared" si="5"/>
        <v>5.0541516245487361E-2</v>
      </c>
      <c r="S14" s="41">
        <f t="shared" si="6"/>
        <v>4.3321299638989168E-2</v>
      </c>
      <c r="T14" s="136">
        <v>0.318718</v>
      </c>
      <c r="U14" s="40">
        <f t="shared" si="10"/>
        <v>2.0831241830065361E-3</v>
      </c>
    </row>
    <row r="15" spans="1:21" ht="15.75">
      <c r="A15" s="44">
        <f>A7-A10</f>
        <v>1531308</v>
      </c>
      <c r="B15" s="44">
        <f>B7-B10</f>
        <v>1601069</v>
      </c>
      <c r="C15" s="73">
        <f>(B15-A15)/A15</f>
        <v>4.5556478513793436E-2</v>
      </c>
      <c r="D15" s="27" t="s">
        <v>24</v>
      </c>
      <c r="E15" s="14">
        <v>21</v>
      </c>
      <c r="F15" s="28">
        <v>2.2599999999999999E-3</v>
      </c>
      <c r="G15" s="14">
        <f t="shared" si="0"/>
        <v>326.16866166666665</v>
      </c>
      <c r="H15" s="163">
        <f t="shared" si="7"/>
        <v>82194.502739999996</v>
      </c>
      <c r="I15" s="66">
        <f t="shared" si="8"/>
        <v>2.2602034183076478E-3</v>
      </c>
      <c r="J15" s="14">
        <v>326</v>
      </c>
      <c r="K15" s="67">
        <f t="shared" si="1"/>
        <v>82152</v>
      </c>
      <c r="L15" s="66">
        <f t="shared" si="2"/>
        <v>2.2594171258273556E-3</v>
      </c>
      <c r="M15" s="66">
        <f t="shared" si="9"/>
        <v>2.2934676769083657E-3</v>
      </c>
      <c r="N15" s="29">
        <f t="shared" si="3"/>
        <v>321.53466166666664</v>
      </c>
      <c r="O15" s="3">
        <v>307</v>
      </c>
      <c r="P15" s="41">
        <f t="shared" si="4"/>
        <v>5.8282208588957052E-2</v>
      </c>
      <c r="Q15" s="3">
        <v>18</v>
      </c>
      <c r="R15" s="41">
        <f t="shared" si="5"/>
        <v>5.5555555555555552E-2</v>
      </c>
      <c r="S15" s="41">
        <f t="shared" si="6"/>
        <v>4.5751633986928102E-2</v>
      </c>
      <c r="T15" s="136">
        <v>4.8196000000000003E-2</v>
      </c>
      <c r="U15" s="40">
        <f t="shared" si="10"/>
        <v>2.2950476190476193E-3</v>
      </c>
    </row>
    <row r="16" spans="1:21" ht="15.75">
      <c r="A16" s="44"/>
      <c r="B16" s="44"/>
      <c r="C16" s="44"/>
      <c r="D16" s="79"/>
      <c r="E16" s="80"/>
      <c r="F16" s="12"/>
      <c r="G16" s="18"/>
      <c r="H16" s="36">
        <f>SUM(H8:H15)</f>
        <v>1731713.13179</v>
      </c>
      <c r="I16" s="36"/>
      <c r="J16" s="18"/>
      <c r="K16" s="36">
        <f>SUM(K8:K15)</f>
        <v>1731420</v>
      </c>
      <c r="L16" s="36"/>
      <c r="M16" s="45"/>
      <c r="N16" s="17"/>
    </row>
    <row r="17" spans="1:13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2">
        <v>1731869</v>
      </c>
      <c r="I17" s="72"/>
      <c r="J17" s="71" t="s">
        <v>63</v>
      </c>
      <c r="K17" s="72">
        <v>1731869</v>
      </c>
      <c r="L17" s="11"/>
      <c r="M17" s="11"/>
    </row>
    <row r="18" spans="1:13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70">
        <f>H16-H17</f>
        <v>-155.86820999998599</v>
      </c>
      <c r="I18" s="70"/>
      <c r="J18" s="18"/>
      <c r="K18" s="70">
        <f>K16-K17</f>
        <v>-449</v>
      </c>
      <c r="L18" s="18"/>
      <c r="M18" s="18"/>
    </row>
    <row r="19" spans="1:13" ht="15.75">
      <c r="A19" s="24" t="s">
        <v>61</v>
      </c>
      <c r="B19" s="24" t="s">
        <v>61</v>
      </c>
      <c r="C19" s="24"/>
    </row>
    <row r="20" spans="1:13" ht="15.75">
      <c r="A20" s="44">
        <f>A7/12</f>
        <v>135784</v>
      </c>
      <c r="B20" s="44">
        <f>B7/12</f>
        <v>144322.41666666666</v>
      </c>
      <c r="C20" s="73">
        <f>(B20-A20)/A20</f>
        <v>6.2882347453799101E-2</v>
      </c>
    </row>
    <row r="21" spans="1:13" ht="15.75">
      <c r="A21" s="44"/>
      <c r="B21" s="44"/>
      <c r="C21" s="44"/>
    </row>
    <row r="22" spans="1:13" ht="15.75">
      <c r="A22" s="24" t="s">
        <v>31</v>
      </c>
      <c r="B22" s="24" t="s">
        <v>31</v>
      </c>
      <c r="C22" s="24"/>
    </row>
    <row r="23" spans="1:13" ht="15.75">
      <c r="A23" s="24" t="s">
        <v>65</v>
      </c>
      <c r="B23" s="24" t="s">
        <v>65</v>
      </c>
      <c r="C23" s="24"/>
    </row>
    <row r="24" spans="1:13" ht="15.75">
      <c r="A24" s="24" t="s">
        <v>61</v>
      </c>
      <c r="B24" s="24" t="s">
        <v>61</v>
      </c>
      <c r="C24" s="24"/>
    </row>
    <row r="25" spans="1:13" ht="15.75">
      <c r="A25" s="44">
        <f>A15/12</f>
        <v>127609</v>
      </c>
      <c r="B25" s="44">
        <f>B15/12</f>
        <v>133422.41666666666</v>
      </c>
      <c r="C25" s="73">
        <f>(B25-A25)/A25</f>
        <v>4.5556478513793359E-2</v>
      </c>
    </row>
    <row r="26" spans="1:13" ht="15.75">
      <c r="A26" s="20"/>
      <c r="B26" s="20"/>
      <c r="C26" s="20"/>
    </row>
    <row r="27" spans="1:13" ht="15.75">
      <c r="A27" s="24" t="s">
        <v>61</v>
      </c>
      <c r="B27" s="24" t="s">
        <v>61</v>
      </c>
      <c r="C27" s="24"/>
    </row>
    <row r="28" spans="1:13" ht="15.75">
      <c r="A28" s="20" t="s">
        <v>73</v>
      </c>
      <c r="B28" s="20">
        <v>20</v>
      </c>
      <c r="C28" s="20"/>
    </row>
    <row r="29" spans="1:13">
      <c r="A29" s="75" t="s">
        <v>74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9"/>
  <sheetViews>
    <sheetView showGridLines="0" topLeftCell="A19" workbookViewId="0">
      <selection activeCell="H8" sqref="H8:H15"/>
    </sheetView>
  </sheetViews>
  <sheetFormatPr defaultRowHeight="15"/>
  <cols>
    <col min="1" max="2" width="12.140625" bestFit="1" customWidth="1"/>
    <col min="3" max="3" width="12.140625" customWidth="1"/>
    <col min="4" max="4" width="10.42578125" customWidth="1"/>
    <col min="5" max="5" width="6" customWidth="1"/>
    <col min="6" max="6" width="11.140625" customWidth="1"/>
    <col min="7" max="7" width="9" customWidth="1"/>
    <col min="8" max="8" width="8.42578125" customWidth="1"/>
    <col min="9" max="9" width="10.140625" customWidth="1"/>
    <col min="10" max="10" width="9.5703125" bestFit="1" customWidth="1"/>
    <col min="11" max="11" width="1.5703125" customWidth="1"/>
    <col min="12" max="12" width="9" customWidth="1"/>
    <col min="13" max="13" width="5" customWidth="1"/>
    <col min="14" max="14" width="7.28515625" customWidth="1"/>
    <col min="15" max="15" width="3" customWidth="1"/>
    <col min="16" max="17" width="5.5703125" customWidth="1"/>
  </cols>
  <sheetData>
    <row r="1" spans="1:17" ht="15.75">
      <c r="D1" s="17"/>
      <c r="E1" s="17"/>
      <c r="F1" s="17"/>
      <c r="G1" s="17"/>
      <c r="H1" s="17"/>
      <c r="I1" s="17"/>
    </row>
    <row r="2" spans="1:17" ht="15.75">
      <c r="D2" s="11"/>
      <c r="E2" s="12"/>
      <c r="F2" s="11"/>
      <c r="G2" s="11"/>
      <c r="H2" s="11"/>
      <c r="I2" s="17"/>
    </row>
    <row r="3" spans="1:17" ht="15.75">
      <c r="D3" s="11"/>
      <c r="E3" s="12"/>
      <c r="F3" s="11"/>
      <c r="G3" s="11"/>
      <c r="H3" s="11"/>
      <c r="I3" s="17"/>
    </row>
    <row r="4" spans="1:17" ht="15.75" customHeight="1">
      <c r="A4" s="24">
        <v>1998</v>
      </c>
      <c r="B4" s="24">
        <v>1999</v>
      </c>
      <c r="C4" s="2"/>
      <c r="D4" s="13"/>
      <c r="E4" s="11"/>
      <c r="F4" s="12"/>
      <c r="G4" s="10" t="s">
        <v>36</v>
      </c>
      <c r="H4" s="11" t="s">
        <v>46</v>
      </c>
      <c r="L4" s="24" t="s">
        <v>34</v>
      </c>
      <c r="M4" s="3"/>
      <c r="O4" s="3"/>
    </row>
    <row r="5" spans="1:17" ht="15.75">
      <c r="A5" s="24" t="s">
        <v>66</v>
      </c>
      <c r="B5" s="24" t="s">
        <v>66</v>
      </c>
      <c r="C5" s="24"/>
      <c r="D5" s="10"/>
      <c r="E5" s="10" t="s">
        <v>12</v>
      </c>
      <c r="F5" s="10"/>
      <c r="G5" s="11" t="s">
        <v>35</v>
      </c>
      <c r="H5" s="11" t="s">
        <v>47</v>
      </c>
      <c r="L5" s="10" t="s">
        <v>35</v>
      </c>
      <c r="M5" s="3"/>
      <c r="N5" s="3"/>
      <c r="O5" s="3"/>
      <c r="P5" s="3"/>
      <c r="Q5" s="3"/>
    </row>
    <row r="6" spans="1:17" ht="15.75">
      <c r="A6" s="24" t="s">
        <v>60</v>
      </c>
      <c r="B6" s="24" t="s">
        <v>60</v>
      </c>
      <c r="C6" s="24"/>
      <c r="D6" s="10"/>
      <c r="E6" s="10" t="s">
        <v>1</v>
      </c>
      <c r="F6" s="23"/>
      <c r="G6" s="11" t="s">
        <v>14</v>
      </c>
      <c r="H6" s="57" t="s">
        <v>67</v>
      </c>
      <c r="L6" s="10" t="s">
        <v>14</v>
      </c>
      <c r="M6" s="3"/>
      <c r="N6" s="3" t="s">
        <v>47</v>
      </c>
      <c r="O6" s="3"/>
      <c r="P6" s="3"/>
      <c r="Q6" s="3"/>
    </row>
    <row r="7" spans="1:17" ht="15.75">
      <c r="A7" s="44">
        <v>1731869</v>
      </c>
      <c r="B7" s="123">
        <v>1769758</v>
      </c>
      <c r="C7" s="73">
        <f>(B7-A7)/A7</f>
        <v>2.1877520759364593E-2</v>
      </c>
      <c r="D7" s="26" t="s">
        <v>13</v>
      </c>
      <c r="E7" s="26" t="s">
        <v>2</v>
      </c>
      <c r="F7" s="10" t="s">
        <v>16</v>
      </c>
      <c r="G7" s="11" t="s">
        <v>32</v>
      </c>
      <c r="H7" s="11">
        <v>1999</v>
      </c>
      <c r="I7" s="10" t="s">
        <v>15</v>
      </c>
      <c r="J7" s="10" t="s">
        <v>35</v>
      </c>
      <c r="K7" s="10"/>
      <c r="L7" s="10" t="s">
        <v>32</v>
      </c>
      <c r="M7" s="74"/>
      <c r="N7" s="74">
        <v>1998</v>
      </c>
      <c r="O7" s="74"/>
      <c r="P7" s="74"/>
      <c r="Q7" s="74"/>
    </row>
    <row r="8" spans="1:17" ht="15.75">
      <c r="A8" s="44"/>
      <c r="B8" s="44"/>
      <c r="C8" s="44"/>
      <c r="D8" s="27" t="s">
        <v>17</v>
      </c>
      <c r="E8" s="14">
        <v>5</v>
      </c>
      <c r="F8" s="28">
        <v>1.23E-3</v>
      </c>
      <c r="G8" s="14">
        <f>F8*$B$20</f>
        <v>181.400195</v>
      </c>
      <c r="H8" s="14">
        <v>181</v>
      </c>
      <c r="I8" s="36">
        <f>E8*H8*12</f>
        <v>10860</v>
      </c>
      <c r="J8" s="66">
        <f t="shared" ref="J8:J15" si="0">H8/($I$16/12)</f>
        <v>1.226553182261737E-3</v>
      </c>
      <c r="K8" s="40"/>
      <c r="L8" s="29">
        <f>F8*$B$25+$B$28</f>
        <v>187.99319500000001</v>
      </c>
      <c r="M8" s="3"/>
      <c r="N8" s="87">
        <v>176</v>
      </c>
      <c r="O8" s="3"/>
      <c r="P8" s="41"/>
      <c r="Q8" s="41"/>
    </row>
    <row r="9" spans="1:17" ht="15.75">
      <c r="A9" s="24" t="s">
        <v>61</v>
      </c>
      <c r="B9" s="24" t="s">
        <v>61</v>
      </c>
      <c r="C9" s="24"/>
      <c r="D9" s="31" t="s">
        <v>18</v>
      </c>
      <c r="E9" s="14">
        <v>5</v>
      </c>
      <c r="F9" s="28">
        <v>1.3699999999999999E-3</v>
      </c>
      <c r="G9" s="14">
        <f t="shared" ref="G9:G15" si="1">F9*$B$20</f>
        <v>202.04737166666666</v>
      </c>
      <c r="H9" s="14">
        <v>202</v>
      </c>
      <c r="I9" s="36">
        <f t="shared" ref="I9:I15" si="2">E9*H9*12</f>
        <v>12120</v>
      </c>
      <c r="J9" s="66">
        <f t="shared" si="0"/>
        <v>1.3688604575517727E-3</v>
      </c>
      <c r="K9" s="40"/>
      <c r="L9" s="29">
        <f t="shared" ref="L9:L15" si="3">F9*$B$25+$B$28</f>
        <v>207.11437166666667</v>
      </c>
      <c r="M9" s="3"/>
      <c r="N9" s="87">
        <v>196</v>
      </c>
      <c r="O9" s="3"/>
      <c r="P9" s="41"/>
      <c r="Q9" s="41"/>
    </row>
    <row r="10" spans="1:17" ht="15.75">
      <c r="A10" s="44">
        <v>130800</v>
      </c>
      <c r="B10" s="44">
        <v>130800</v>
      </c>
      <c r="C10" s="44"/>
      <c r="D10" s="27" t="s">
        <v>19</v>
      </c>
      <c r="E10" s="14">
        <v>131</v>
      </c>
      <c r="F10" s="28">
        <v>1.5100000000000001E-3</v>
      </c>
      <c r="G10" s="14">
        <f t="shared" si="1"/>
        <v>222.69454833333336</v>
      </c>
      <c r="H10" s="14">
        <v>223</v>
      </c>
      <c r="I10" s="36">
        <f t="shared" si="2"/>
        <v>350556</v>
      </c>
      <c r="J10" s="66">
        <f t="shared" si="0"/>
        <v>1.5111677328418086E-3</v>
      </c>
      <c r="K10" s="40"/>
      <c r="L10" s="29">
        <f t="shared" si="3"/>
        <v>226.23554833333336</v>
      </c>
      <c r="M10" s="3"/>
      <c r="N10" s="87">
        <v>216</v>
      </c>
      <c r="O10" s="3"/>
      <c r="P10" s="41"/>
      <c r="Q10" s="41"/>
    </row>
    <row r="11" spans="1:17" ht="15.75">
      <c r="A11" s="20"/>
      <c r="B11" s="20"/>
      <c r="C11" s="20"/>
      <c r="D11" s="27" t="s">
        <v>20</v>
      </c>
      <c r="E11" s="14">
        <v>13</v>
      </c>
      <c r="F11" s="28">
        <v>1.7799999999999999E-3</v>
      </c>
      <c r="G11" s="14">
        <f t="shared" si="1"/>
        <v>262.51410333333331</v>
      </c>
      <c r="H11" s="14">
        <v>263</v>
      </c>
      <c r="I11" s="36">
        <f t="shared" si="2"/>
        <v>41028</v>
      </c>
      <c r="J11" s="66">
        <f t="shared" si="0"/>
        <v>1.7822292095847339E-3</v>
      </c>
      <c r="K11" s="40"/>
      <c r="L11" s="29">
        <f t="shared" si="3"/>
        <v>263.11210333333332</v>
      </c>
      <c r="M11" s="3"/>
      <c r="N11" s="87">
        <v>255</v>
      </c>
      <c r="O11" s="3"/>
      <c r="P11" s="41"/>
      <c r="Q11" s="41"/>
    </row>
    <row r="12" spans="1:17" ht="15.75">
      <c r="A12" s="24" t="s">
        <v>62</v>
      </c>
      <c r="B12" s="24" t="s">
        <v>62</v>
      </c>
      <c r="C12" s="24"/>
      <c r="D12" s="27" t="s">
        <v>21</v>
      </c>
      <c r="E12" s="14">
        <v>206</v>
      </c>
      <c r="F12" s="28">
        <v>1.8500000000000001E-3</v>
      </c>
      <c r="G12" s="14">
        <f t="shared" si="1"/>
        <v>272.83769166666667</v>
      </c>
      <c r="H12" s="14">
        <v>273</v>
      </c>
      <c r="I12" s="36">
        <f t="shared" si="2"/>
        <v>674856</v>
      </c>
      <c r="J12" s="66">
        <f t="shared" si="0"/>
        <v>1.8499945787704651E-3</v>
      </c>
      <c r="K12" s="40"/>
      <c r="L12" s="29">
        <f t="shared" si="3"/>
        <v>272.67269166666671</v>
      </c>
      <c r="M12" s="3"/>
      <c r="N12" s="87">
        <v>265</v>
      </c>
      <c r="O12" s="3"/>
      <c r="P12" s="41"/>
      <c r="Q12" s="41"/>
    </row>
    <row r="13" spans="1:17" ht="15.75">
      <c r="A13" s="24" t="s">
        <v>63</v>
      </c>
      <c r="B13" s="24" t="s">
        <v>63</v>
      </c>
      <c r="C13" s="24"/>
      <c r="D13" s="27" t="s">
        <v>22</v>
      </c>
      <c r="E13" s="14">
        <v>11</v>
      </c>
      <c r="F13" s="28">
        <v>2.0200000000000001E-3</v>
      </c>
      <c r="G13" s="14">
        <f t="shared" si="1"/>
        <v>297.90926333333334</v>
      </c>
      <c r="H13" s="14">
        <v>298</v>
      </c>
      <c r="I13" s="36">
        <f t="shared" si="2"/>
        <v>39336</v>
      </c>
      <c r="J13" s="66">
        <f t="shared" si="0"/>
        <v>2.0194080017347936E-3</v>
      </c>
      <c r="K13" s="40"/>
      <c r="L13" s="29">
        <f t="shared" si="3"/>
        <v>295.89126333333337</v>
      </c>
      <c r="M13" s="3"/>
      <c r="N13" s="87">
        <v>289</v>
      </c>
      <c r="O13" s="3"/>
      <c r="P13" s="41"/>
      <c r="Q13" s="41"/>
    </row>
    <row r="14" spans="1:17" ht="15.75">
      <c r="A14" s="24" t="s">
        <v>61</v>
      </c>
      <c r="B14" s="24" t="s">
        <v>61</v>
      </c>
      <c r="C14" s="24"/>
      <c r="D14" s="27" t="s">
        <v>23</v>
      </c>
      <c r="E14" s="14">
        <v>153</v>
      </c>
      <c r="F14" s="28">
        <v>2.0600000000000002E-3</v>
      </c>
      <c r="G14" s="14">
        <f t="shared" si="1"/>
        <v>303.8084566666667</v>
      </c>
      <c r="H14" s="14">
        <v>304</v>
      </c>
      <c r="I14" s="36">
        <f t="shared" si="2"/>
        <v>558144</v>
      </c>
      <c r="J14" s="66">
        <f t="shared" si="0"/>
        <v>2.0600672232462323E-3</v>
      </c>
      <c r="K14" s="40"/>
      <c r="L14" s="29">
        <f t="shared" si="3"/>
        <v>301.35445666666669</v>
      </c>
      <c r="M14" s="3"/>
      <c r="N14" s="87">
        <v>295</v>
      </c>
      <c r="O14" s="3"/>
      <c r="P14" s="41"/>
      <c r="Q14" s="41"/>
    </row>
    <row r="15" spans="1:17" ht="15.75">
      <c r="A15" s="44">
        <f>A7-A10</f>
        <v>1601069</v>
      </c>
      <c r="B15" s="44">
        <f>B7-B10</f>
        <v>1638958</v>
      </c>
      <c r="C15" s="73">
        <f>(B15-A15)/A15</f>
        <v>2.3664813946182205E-2</v>
      </c>
      <c r="D15" s="27" t="s">
        <v>24</v>
      </c>
      <c r="E15" s="14">
        <v>21</v>
      </c>
      <c r="F15" s="28">
        <v>2.2599999999999999E-3</v>
      </c>
      <c r="G15" s="14">
        <f t="shared" si="1"/>
        <v>333.30442333333332</v>
      </c>
      <c r="H15" s="14">
        <v>333</v>
      </c>
      <c r="I15" s="67">
        <f t="shared" si="2"/>
        <v>83916</v>
      </c>
      <c r="J15" s="66">
        <f t="shared" si="0"/>
        <v>2.2565867938848529E-3</v>
      </c>
      <c r="K15" s="40"/>
      <c r="L15" s="29">
        <f t="shared" si="3"/>
        <v>328.67042333333336</v>
      </c>
      <c r="M15" s="3"/>
      <c r="N15" s="87">
        <v>323</v>
      </c>
      <c r="O15" s="3"/>
      <c r="P15" s="41"/>
      <c r="Q15" s="41"/>
    </row>
    <row r="16" spans="1:17" ht="15.75">
      <c r="A16" s="44"/>
      <c r="B16" s="44"/>
      <c r="C16" s="44"/>
      <c r="D16" s="79"/>
      <c r="E16" s="80"/>
      <c r="F16" s="12"/>
      <c r="G16" s="18"/>
      <c r="H16" s="18"/>
      <c r="I16" s="36">
        <f>SUM(I8:I15)</f>
        <v>1770816</v>
      </c>
      <c r="J16" s="36"/>
      <c r="K16" s="45"/>
      <c r="L16" s="17"/>
      <c r="M16" s="3"/>
    </row>
    <row r="17" spans="1:13" ht="15.75">
      <c r="A17" s="24" t="s">
        <v>31</v>
      </c>
      <c r="B17" s="24" t="s">
        <v>31</v>
      </c>
      <c r="C17" s="24"/>
      <c r="D17" s="13"/>
      <c r="E17" s="11"/>
      <c r="F17" s="12"/>
      <c r="G17" s="15"/>
      <c r="H17" s="71" t="s">
        <v>63</v>
      </c>
      <c r="I17" s="72">
        <f>B7</f>
        <v>1769758</v>
      </c>
      <c r="J17" s="11"/>
      <c r="K17" s="11"/>
      <c r="M17" s="3"/>
    </row>
    <row r="18" spans="1:13" ht="15.75">
      <c r="A18" s="24" t="s">
        <v>64</v>
      </c>
      <c r="B18" s="24" t="s">
        <v>64</v>
      </c>
      <c r="C18" s="24"/>
      <c r="D18" s="13"/>
      <c r="E18" s="16"/>
      <c r="F18" s="12"/>
      <c r="G18" s="18"/>
      <c r="H18" s="18"/>
      <c r="I18" s="39">
        <f>I16-I17</f>
        <v>1058</v>
      </c>
      <c r="J18" s="18"/>
      <c r="K18" s="18"/>
      <c r="M18" s="3"/>
    </row>
    <row r="19" spans="1:13" ht="15.75">
      <c r="A19" s="24" t="s">
        <v>61</v>
      </c>
      <c r="B19" s="24" t="s">
        <v>61</v>
      </c>
      <c r="C19" s="24"/>
    </row>
    <row r="20" spans="1:13" ht="15.75">
      <c r="A20" s="44">
        <f>A7/12</f>
        <v>144322.41666666666</v>
      </c>
      <c r="B20" s="44">
        <f>B7/12</f>
        <v>147479.83333333334</v>
      </c>
      <c r="C20" s="73">
        <f>(B20-A20)/A20</f>
        <v>2.1877520759364728E-2</v>
      </c>
    </row>
    <row r="21" spans="1:13" ht="15.75">
      <c r="A21" s="44"/>
      <c r="B21" s="44"/>
      <c r="C21" s="44"/>
    </row>
    <row r="22" spans="1:13" ht="15.75">
      <c r="A22" s="24" t="s">
        <v>31</v>
      </c>
      <c r="B22" s="24" t="s">
        <v>31</v>
      </c>
      <c r="C22" s="24"/>
    </row>
    <row r="23" spans="1:13" ht="15.75">
      <c r="A23" s="24" t="s">
        <v>65</v>
      </c>
      <c r="B23" s="24" t="s">
        <v>65</v>
      </c>
      <c r="C23" s="24"/>
    </row>
    <row r="24" spans="1:13" ht="15.75">
      <c r="A24" s="24" t="s">
        <v>61</v>
      </c>
      <c r="B24" s="24" t="s">
        <v>61</v>
      </c>
      <c r="C24" s="24"/>
    </row>
    <row r="25" spans="1:13" ht="15.75">
      <c r="A25" s="44">
        <f>A15/12</f>
        <v>133422.41666666666</v>
      </c>
      <c r="B25" s="44">
        <f>B15/12</f>
        <v>136579.83333333334</v>
      </c>
      <c r="C25" s="73">
        <f>(B25-A25)/A25</f>
        <v>2.3664813946182355E-2</v>
      </c>
    </row>
    <row r="26" spans="1:13" ht="15.75">
      <c r="A26" s="20"/>
      <c r="B26" s="20"/>
      <c r="C26" s="20"/>
    </row>
    <row r="27" spans="1:13" ht="15.75">
      <c r="A27" s="24" t="s">
        <v>61</v>
      </c>
      <c r="B27" s="24" t="s">
        <v>61</v>
      </c>
      <c r="C27" s="24"/>
    </row>
    <row r="28" spans="1:13" ht="15.75">
      <c r="A28" s="20">
        <v>20</v>
      </c>
      <c r="B28" s="20">
        <v>20</v>
      </c>
      <c r="C28" s="20"/>
    </row>
    <row r="29" spans="1:13">
      <c r="A29" s="75" t="s"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88</vt:lpstr>
      <vt:lpstr>89-91</vt:lpstr>
      <vt:lpstr>92</vt:lpstr>
      <vt:lpstr>89-93</vt:lpstr>
      <vt:lpstr>94</vt:lpstr>
      <vt:lpstr>96</vt:lpstr>
      <vt:lpstr>97</vt:lpstr>
      <vt:lpstr>98-$20+4.5%</vt:lpstr>
      <vt:lpstr>99-00</vt:lpstr>
      <vt:lpstr>01</vt:lpstr>
      <vt:lpstr>02</vt:lpstr>
      <vt:lpstr>03</vt:lpstr>
      <vt:lpstr>04</vt:lpstr>
      <vt:lpstr>05</vt:lpstr>
      <vt:lpstr>06</vt:lpstr>
      <vt:lpstr>07</vt:lpstr>
      <vt:lpstr>08</vt:lpstr>
      <vt:lpstr>09-10</vt:lpstr>
      <vt:lpstr>10-13</vt:lpstr>
      <vt:lpstr>14-16</vt:lpstr>
      <vt:lpstr>17</vt:lpstr>
      <vt:lpstr>18</vt:lpstr>
      <vt:lpstr>%-20</vt:lpstr>
      <vt:lpstr>6 dec places</vt:lpstr>
      <vt:lpstr>5 dec places</vt:lpstr>
      <vt:lpstr>1973,sq ft,2016</vt:lpstr>
      <vt:lpstr>my fees</vt:lpstr>
      <vt:lpstr>% by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Halloween 2016 MicroCenter</cp:lastModifiedBy>
  <dcterms:created xsi:type="dcterms:W3CDTF">2017-02-17T15:11:29Z</dcterms:created>
  <dcterms:modified xsi:type="dcterms:W3CDTF">2023-11-13T12:14:59Z</dcterms:modified>
</cp:coreProperties>
</file>